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60" activeTab="0"/>
  </bookViews>
  <sheets>
    <sheet name="REMONTY" sheetId="1" r:id="rId1"/>
    <sheet name="INWESTYCJE" sheetId="2" r:id="rId2"/>
    <sheet name="USŁUGI" sheetId="3" r:id="rId3"/>
    <sheet name="ZESTAWIENIE" sheetId="4" r:id="rId4"/>
    <sheet name="STR.TYTUŁOWA" sheetId="5" r:id="rId5"/>
    <sheet name="FAKULTATYWNE" sheetId="6" r:id="rId6"/>
    <sheet name="REMONTY do innych realizator" sheetId="7" r:id="rId7"/>
  </sheets>
  <externalReferences>
    <externalReference r:id="rId10"/>
  </externalReferences>
  <definedNames>
    <definedName name="_xlnm._FilterDatabase" localSheetId="1" hidden="1">'INWESTYCJE'!$A$4:$T$4</definedName>
    <definedName name="_xlnm._FilterDatabase" localSheetId="0" hidden="1">'REMONTY'!$A$4:$P$22</definedName>
    <definedName name="_xlnm._FilterDatabase" localSheetId="6" hidden="1">'REMONTY do innych realizator'!$A$5:$T$5</definedName>
    <definedName name="_xlfn.SUMIFS" hidden="1">#NAME?</definedName>
    <definedName name="_xlnm.Print_Area" localSheetId="1">'INWESTYCJE'!$A$1:$S$79</definedName>
    <definedName name="_xlnm.Print_Area" localSheetId="0">'REMONTY'!$A$1:$O$47</definedName>
    <definedName name="_xlnm.Print_Area" localSheetId="6">'REMONTY do innych realizator'!$A$1:$U$25</definedName>
    <definedName name="_xlnm.Print_Titles" localSheetId="1">'INWESTYCJE'!$1:$5</definedName>
    <definedName name="_xlnm.Print_Titles" localSheetId="0">'REMONTY'!$1:$4</definedName>
    <definedName name="_xlnm.Print_Titles" localSheetId="3">'ZESTAWIENIE'!$3:$3</definedName>
  </definedNames>
  <calcPr fullCalcOnLoad="1"/>
</workbook>
</file>

<file path=xl/sharedStrings.xml><?xml version="1.0" encoding="utf-8"?>
<sst xmlns="http://schemas.openxmlformats.org/spreadsheetml/2006/main" count="992" uniqueCount="318">
  <si>
    <t>REMONTY</t>
  </si>
  <si>
    <t>l.p.</t>
  </si>
  <si>
    <t>NR Pisma</t>
  </si>
  <si>
    <t>Znak pisma</t>
  </si>
  <si>
    <t>Obiekt</t>
  </si>
  <si>
    <t>pkt. Pisma</t>
  </si>
  <si>
    <t>Wnioskujący</t>
  </si>
  <si>
    <t>Opis robót</t>
  </si>
  <si>
    <t>PILNOŚĆ REALIZACJI                            P-priorytet                         R-rezerwa</t>
  </si>
  <si>
    <t>Nr poz. Planu            K-DIR</t>
  </si>
  <si>
    <t>Rodzaj robót</t>
  </si>
  <si>
    <t>Osoba odpowiedzialna za wycenę szacunkową</t>
  </si>
  <si>
    <t>SUGEROWANU SPOSÓB  FINANSOWANIA</t>
  </si>
  <si>
    <t>UWAGI</t>
  </si>
  <si>
    <t>UZGODNIENIA</t>
  </si>
  <si>
    <t>2012 rok</t>
  </si>
  <si>
    <t>2013 rok</t>
  </si>
  <si>
    <t>2014 rok</t>
  </si>
  <si>
    <t>2015 rok</t>
  </si>
  <si>
    <t>2016 rok</t>
  </si>
  <si>
    <t>VAT</t>
  </si>
  <si>
    <t>m-c</t>
  </si>
  <si>
    <t>wartość brutto</t>
  </si>
  <si>
    <t>wartość brutto z zawartych UMÓW</t>
  </si>
  <si>
    <t>1.</t>
  </si>
  <si>
    <t>Remonty niezrealizowane w 2011</t>
  </si>
  <si>
    <t>Budynek Główny</t>
  </si>
  <si>
    <t>roboty budowlane</t>
  </si>
  <si>
    <t>B. Jugowiec</t>
  </si>
  <si>
    <t>Środki własne UEK</t>
  </si>
  <si>
    <t>2.</t>
  </si>
  <si>
    <t>3.</t>
  </si>
  <si>
    <t xml:space="preserve">Pawilon B                </t>
  </si>
  <si>
    <t>K-DIR</t>
  </si>
  <si>
    <t>4.</t>
  </si>
  <si>
    <t>Biuro ds. Osób Niepełnosprawnych</t>
  </si>
  <si>
    <t>Fundusz Osób Niepełnosprawnych</t>
  </si>
  <si>
    <t>5.</t>
  </si>
  <si>
    <t>6.</t>
  </si>
  <si>
    <t>XLI</t>
  </si>
  <si>
    <t>Pawilon F</t>
  </si>
  <si>
    <t>?</t>
  </si>
  <si>
    <t>Nie jest to robota budowlana. Wytypować Realizatora</t>
  </si>
  <si>
    <t>7.</t>
  </si>
  <si>
    <t>D. Przeniosło</t>
  </si>
  <si>
    <t>8.</t>
  </si>
  <si>
    <t>Remonty wyłączone z realizacji w 2011roku</t>
  </si>
  <si>
    <t>Katedra Finansów-Wymiana sufitów podwieszanych w pokojach 701 do 712</t>
  </si>
  <si>
    <t>9.</t>
  </si>
  <si>
    <t>Ustronie</t>
  </si>
  <si>
    <t>Wł. Dębowski</t>
  </si>
  <si>
    <t>10.</t>
  </si>
  <si>
    <t>11.</t>
  </si>
  <si>
    <t>Biblioteka Główna</t>
  </si>
  <si>
    <t>Remont poszycia dachu oraz wymiana rynien i rur spustowych</t>
  </si>
  <si>
    <t>12.</t>
  </si>
  <si>
    <t>Wymiana drzwi wraz z aluminiowymi ściankami  wiatrołapu  w strefie wejścia głównego do budynku Biblioteki Głównej</t>
  </si>
  <si>
    <t>13.</t>
  </si>
  <si>
    <t xml:space="preserve">Teren UEK                           </t>
  </si>
  <si>
    <t>usługa</t>
  </si>
  <si>
    <t>14.</t>
  </si>
  <si>
    <t>15.</t>
  </si>
  <si>
    <t>Utwardzenie terenu wokół Pawilonu "H" kostką brukową z odzysku</t>
  </si>
  <si>
    <t>XLIII</t>
  </si>
  <si>
    <t>K-ADS 223-9-2010</t>
  </si>
  <si>
    <t>D.S. Fafik</t>
  </si>
  <si>
    <t>Kierownik D.S. „Fafik”</t>
  </si>
  <si>
    <t>Fundusz Pomocy Materialnej Studentom i Doktorantom+ Środki własne DS.</t>
  </si>
  <si>
    <t>XIII</t>
  </si>
  <si>
    <t xml:space="preserve">K-ADS-4512/123/2011 </t>
  </si>
  <si>
    <t>D.S. Merkury</t>
  </si>
  <si>
    <t>Kierownik D.S. „Merkury”</t>
  </si>
  <si>
    <t>Wymiana instalacji elektrycznej w pokojach i sanitariatach</t>
  </si>
  <si>
    <t>M. Cora</t>
  </si>
  <si>
    <t>2.   4.</t>
  </si>
  <si>
    <t>Sienkiewicza 5</t>
  </si>
  <si>
    <t>W. Filipowski</t>
  </si>
  <si>
    <t>XXVI</t>
  </si>
  <si>
    <t xml:space="preserve">Administracja Obiektów-Sienkiewicza 4 i 5. </t>
  </si>
  <si>
    <t>Malowanie klatki schodowej oraz pomieszczenia sprzątających</t>
  </si>
  <si>
    <t>Zalecenie Inspektora Nadzoru Budowlanego- Protokół przeglądu budynków z 2011r</t>
  </si>
  <si>
    <t>Pismo z dnia 27.09.2011</t>
  </si>
  <si>
    <t>R/34/2012</t>
  </si>
  <si>
    <t xml:space="preserve">Pawilon A                </t>
  </si>
  <si>
    <t>RAZEM:</t>
  </si>
  <si>
    <t>OGÓŁEM brutto:</t>
  </si>
  <si>
    <t>w tym:</t>
  </si>
  <si>
    <t>PRIORYTET 2012</t>
  </si>
  <si>
    <t>REZERWA 2012</t>
  </si>
  <si>
    <t>Podpis Kwestor</t>
  </si>
  <si>
    <t>Podpis Kanclerza</t>
  </si>
  <si>
    <t xml:space="preserve">Podpis Kierownika Realizatora </t>
  </si>
  <si>
    <t>Podpis osoby upoważnionej przez</t>
  </si>
  <si>
    <t xml:space="preserve">Kierownika Realizatora </t>
  </si>
  <si>
    <t>Data…………………………………….</t>
  </si>
  <si>
    <t>PLANOWANE SZACUNKOWE NAKŁADY NA ROBOTY REMONTOWE                                                                [brutto]</t>
  </si>
  <si>
    <t>INWESTYCJE</t>
  </si>
  <si>
    <t xml:space="preserve">PILNOŚĆ REALIZACJI   w 2012r                                             </t>
  </si>
  <si>
    <t>SUGEROWANY SPOSÓB  FINANSOWANIA</t>
  </si>
  <si>
    <t>P-Priorytet</t>
  </si>
  <si>
    <t>R-Rezerwa</t>
  </si>
  <si>
    <t>Inwestycje niezrealizowane w 2011</t>
  </si>
  <si>
    <t>usługa projektowa</t>
  </si>
  <si>
    <t>RB</t>
  </si>
  <si>
    <t>I</t>
  </si>
  <si>
    <t>UP</t>
  </si>
  <si>
    <t>Centrum Informatyki</t>
  </si>
  <si>
    <t>I.</t>
  </si>
  <si>
    <t>Kompleksowa dokumentacja projektowa wraz z wszystkimi uzgodnieniami do ogłoszenia przetargu dla zadania: Rozbudowa zasilania elektrycznego w serwerowni głównej UEK wraz z zakupem, montażem i uruchomieniem centralnych zasilaczy awaryjnych oraz zewnętrznego awaryjnego generatora prądu zasilanego paliwem płynnym</t>
  </si>
  <si>
    <t>I/9a/2012</t>
  </si>
  <si>
    <t xml:space="preserve">Dokumentacja projektowa dla zadania: Montaż automatycznych układów gaśniczych w głównej serwerowni UEK  </t>
  </si>
  <si>
    <t>Montaż automatycznych układów gaśniczych w głównej serwerowni UEK</t>
  </si>
  <si>
    <t>Pawilon A,B,C,E</t>
  </si>
  <si>
    <t>konserwacja w okresie gwarancji</t>
  </si>
  <si>
    <t>U</t>
  </si>
  <si>
    <t>Pawilon B</t>
  </si>
  <si>
    <t>III.</t>
  </si>
  <si>
    <t xml:space="preserve">Pismo z dnia 29-07-2011 </t>
  </si>
  <si>
    <t>Pawilon C</t>
  </si>
  <si>
    <t>Dział Administracyjno – Gospodarczy</t>
  </si>
  <si>
    <t>Wykonanie mechanicznej wentylacji pomieszczenia szatni</t>
  </si>
  <si>
    <t>Inwestycje wyłączone z realizacji w 2011roku</t>
  </si>
  <si>
    <t xml:space="preserve">Pawilon D </t>
  </si>
  <si>
    <t>Państwowy Powiatowy Inspektor Sanitarny</t>
  </si>
  <si>
    <t>Decyzja Sanepid Termin do 30.09.2013</t>
  </si>
  <si>
    <t xml:space="preserve">Dokumentacja projektowa dla zadania: Montaż automatycznych układów gaśniczych   serwerowni w Pawilonie F </t>
  </si>
  <si>
    <t>I/15a/2012</t>
  </si>
  <si>
    <t xml:space="preserve">Montaż automatycznych układów gaśniczych   serwerowni w Pawilonie F : </t>
  </si>
  <si>
    <t>I/15b/2012</t>
  </si>
  <si>
    <t>Pawilon H</t>
  </si>
  <si>
    <t>XXII</t>
  </si>
  <si>
    <t>Pawilon S</t>
  </si>
  <si>
    <t>Uzyskać środki zewnętrzne</t>
  </si>
  <si>
    <t>Studium Wychowania Fizycznego i Sportu</t>
  </si>
  <si>
    <t>Zabudowa pomieszczeń magazynowych przy hali sportowej</t>
  </si>
  <si>
    <t>I/20a/2012</t>
  </si>
  <si>
    <t>Wymiana windy na dostosowaną dla potrzeb osób niepełnosprawnych</t>
  </si>
  <si>
    <t>I/27a/2012</t>
  </si>
  <si>
    <t>KONKURS projekt koncepcja</t>
  </si>
  <si>
    <t>D. Przeniosło     W. Filipowski</t>
  </si>
  <si>
    <t xml:space="preserve">B. Jugowiec              D. Przeniosło  </t>
  </si>
  <si>
    <t>Dotacje ze środków unijnych</t>
  </si>
  <si>
    <t xml:space="preserve">Decyzja ULICP dla zadania: Rozbudowa kampusu UEK o Wydział Towaroznawstwa </t>
  </si>
  <si>
    <t>I/39a/2012</t>
  </si>
  <si>
    <t>Decyzja ULICP dla zadania: Rozbudowa kampusu UEK o Zespół hotelowo-handlowy z akademikiem</t>
  </si>
  <si>
    <t>nieuregulowana  zamiana gruntów</t>
  </si>
  <si>
    <t>Fundusz Pomocy Materialnej Studentów i Doktorantów</t>
  </si>
  <si>
    <t>K-DIR REMONTY</t>
  </si>
  <si>
    <t>Fundusz Pomocy Materialnej Studentom i Doktorantom</t>
  </si>
  <si>
    <t>K-DIR INWESTYCJE</t>
  </si>
  <si>
    <t>W OBSZARZE DZIAŁANIA K-DIR</t>
  </si>
  <si>
    <t>Wyszczególnienie</t>
  </si>
  <si>
    <t>Data dokumentacji</t>
  </si>
  <si>
    <t>Data przekazania</t>
  </si>
  <si>
    <t>WYKAZ POZYCJI WYŁĄCZONYCH Z PLANU 3-LETNIEGO NA 2012 do 2014 rok</t>
  </si>
  <si>
    <t>OBIEKT</t>
  </si>
  <si>
    <t xml:space="preserve">PLANOWANE SZACUNKOWE KOSZTY REALIZACJI </t>
  </si>
  <si>
    <t>Wycena szacunkowa</t>
  </si>
  <si>
    <t xml:space="preserve">UZGODNIENIA dotyczące dalszej realizacji </t>
  </si>
  <si>
    <t>wartość netto</t>
  </si>
  <si>
    <t xml:space="preserve">Budynek Główny  </t>
  </si>
  <si>
    <t>Wykonanie aktualizacji graficznej zegara słonecznego zainstalowanego na elewacji frontowej Pawilonu C</t>
  </si>
  <si>
    <t>Wykonanie zabudowy kopuły od aparatury dźwiękowej przy Sali nr 9 na II piętrze</t>
  </si>
  <si>
    <t>II.</t>
  </si>
  <si>
    <t>S-BON-223-13/11</t>
  </si>
  <si>
    <t>Podjęcie działań na rzecz adaptacji  pokoi w D.S. Fafik dla potrzeb osób poruszających się na wózkach</t>
  </si>
  <si>
    <t>Podjęcie działań na rzecz adaptacji kolejnych pokoi w D.S. Merkury dla potrzeb osób poruszających się na wózkach</t>
  </si>
  <si>
    <t>Wymiana pionów wodno-kanalizacyjnych                                                       (5 pionów sukcesywnie przez 2 lata)</t>
  </si>
  <si>
    <t xml:space="preserve">Przebudowa jednego pionu składów mieszkalnych - zmiana układu pomieszczeń wraz ze wszystkimi robotami branżowymi                              </t>
  </si>
  <si>
    <t xml:space="preserve">Z.O.D. w Dębicy                 Budynek nr P                  ( Portiernia)   </t>
  </si>
  <si>
    <t xml:space="preserve">Z.O.D. w Dębicy </t>
  </si>
  <si>
    <t>Wymiana stolarki okiennej - 3 szt.,                                                   Wymiana stolarki drzwiowej- 1 szt. drzwi zewnętrzne</t>
  </si>
  <si>
    <t>Usługi projektowe wyłączone z realizacji w 2011roku</t>
  </si>
  <si>
    <t>Kompleksowa dokumentacja do przetargu dla zadania: Iluminacja  elewacji frontowej Budynku Głównego</t>
  </si>
  <si>
    <t>Wykonanie Iluminacji  elewacji frontowej</t>
  </si>
  <si>
    <t>Udostępnienie dwóch pierwszych kondygnacji pawilonu Ustronie dla osób poruszających się na wózkach                         - DIR proponuje wykonanie windy zewnętrznej przyściennej - Projekt wraz z wykonaniem</t>
  </si>
  <si>
    <t>usługa projektowa + roboty budowlane</t>
  </si>
  <si>
    <t xml:space="preserve">Dokumentacja projektowa ze wszystkimi uzgodnieniami do przetargu dla zadania: Generalny remont-przebudowa pomieszczeń mieszkalnych </t>
  </si>
  <si>
    <t xml:space="preserve">Generalny remont-przebudowa pomieszczeń mieszkalnych </t>
  </si>
  <si>
    <t>Wykonanie  ogrodzenia terenu wokół budynków oraz zagospodarowanie boiska sportowego</t>
  </si>
  <si>
    <t>Z.O.D. w Dębicy                BUDYNEK nr 18</t>
  </si>
  <si>
    <r>
      <t xml:space="preserve">Kompleksowa dokumentacja do przetargu- Projekt na kapitalny remont dachu </t>
    </r>
    <r>
      <rPr>
        <b/>
        <sz val="10"/>
        <rFont val="Arial"/>
        <family val="2"/>
      </rPr>
      <t xml:space="preserve">Budynku nr 18  </t>
    </r>
  </si>
  <si>
    <t>Z.O.D. w Dębicy                      BUDYNEK nr 18</t>
  </si>
  <si>
    <t xml:space="preserve">Kapitalny remont dachu Budynku nr 18  </t>
  </si>
  <si>
    <t xml:space="preserve">Z.O.D. w Dębicy                    BUDYNEK nr 5    </t>
  </si>
  <si>
    <r>
      <t xml:space="preserve">Kompleksowa dokumentacja do przetargu- Projekt na kapitalny remont  </t>
    </r>
    <r>
      <rPr>
        <b/>
        <sz val="10"/>
        <rFont val="Arial"/>
        <family val="2"/>
      </rPr>
      <t xml:space="preserve">Budynku nr 5 </t>
    </r>
    <r>
      <rPr>
        <sz val="10"/>
        <rFont val="Arial"/>
        <family val="2"/>
      </rPr>
      <t xml:space="preserve"> z przystosowaniem do lokalizacji Inkubatora Przedsiębiorczości</t>
    </r>
  </si>
  <si>
    <t xml:space="preserve">Z.O.D. w Dębicy                      BUDYNEK nr 5    </t>
  </si>
  <si>
    <t>Generalny remont Budynku nr 5  z przystosowaniem do lokalizacji Inkubatora Przedsiębiorczości oraz zaadoptowaniem pomieszczeń na biura, salę konferencyjną, pomieszczenia socjalnego i sanitariaty.</t>
  </si>
  <si>
    <t>Środki własne UEK + uzyskać środki zewnętrzne</t>
  </si>
  <si>
    <t>Z.O.D. w Dębicy                 BUDYNEK nr A</t>
  </si>
  <si>
    <r>
      <t xml:space="preserve">Kompleksowa dokumentacja do przetargu- Projekt na kapitalny remont </t>
    </r>
    <r>
      <rPr>
        <b/>
        <sz val="10"/>
        <rFont val="Arial"/>
        <family val="2"/>
      </rPr>
      <t>Budynku nr A</t>
    </r>
    <r>
      <rPr>
        <sz val="10"/>
        <rFont val="Arial"/>
        <family val="2"/>
      </rPr>
      <t xml:space="preserve"> (Wymiana poszycia dachu, wymiana stolarki budowlanej, ocieplenie wraz z malowaniem elewacji budynku)</t>
    </r>
  </si>
  <si>
    <t>Z.O.D. w Dębicy                    BUDYNEK nr A</t>
  </si>
  <si>
    <t>Kapitalny remont dachu Budynku nr A</t>
  </si>
  <si>
    <t>Z.O.D. w Dębicy                     BUDYNEK nr B</t>
  </si>
  <si>
    <r>
      <t xml:space="preserve">Kompleksowa dokumentacja do przetargu- Projekt na kapitalny remont dachu </t>
    </r>
    <r>
      <rPr>
        <b/>
        <sz val="10"/>
        <rFont val="Arial"/>
        <family val="2"/>
      </rPr>
      <t xml:space="preserve">Budynku nr B </t>
    </r>
  </si>
  <si>
    <t>Z.O.D. w Dębicy                    BUDYNEK nr B</t>
  </si>
  <si>
    <t xml:space="preserve">Kapitalny remont dachu Budynku nr B </t>
  </si>
  <si>
    <t>Z.O.D. Dębica                   Teren kampusu</t>
  </si>
  <si>
    <t xml:space="preserve">Kompleksowa dokumentacja do przetargu- Projekt na zagospodarowanie terenu wraz z uzbrojeniem w sieci : c.o. wod-kan, </t>
  </si>
  <si>
    <t>wersja nr I</t>
  </si>
  <si>
    <r>
      <rPr>
        <b/>
        <sz val="9"/>
        <rFont val="Czcionka tekstu podstawowego"/>
        <family val="2"/>
      </rPr>
      <t>R</t>
    </r>
    <r>
      <rPr>
        <sz val="9"/>
        <rFont val="Czcionka tekstu podstawowego"/>
        <family val="2"/>
      </rPr>
      <t xml:space="preserve">oboty </t>
    </r>
    <r>
      <rPr>
        <b/>
        <sz val="9"/>
        <rFont val="Czcionka tekstu podstawowego"/>
        <family val="2"/>
      </rPr>
      <t>B</t>
    </r>
    <r>
      <rPr>
        <sz val="9"/>
        <rFont val="Czcionka tekstu podstawowego"/>
        <family val="2"/>
      </rPr>
      <t>udowlane</t>
    </r>
  </si>
  <si>
    <r>
      <rPr>
        <b/>
        <sz val="9"/>
        <rFont val="Czcionka tekstu podstawowego"/>
        <family val="2"/>
      </rPr>
      <t>U</t>
    </r>
    <r>
      <rPr>
        <sz val="9"/>
        <rFont val="Czcionka tekstu podstawowego"/>
        <family val="2"/>
      </rPr>
      <t xml:space="preserve">sługi </t>
    </r>
    <r>
      <rPr>
        <b/>
        <sz val="9"/>
        <rFont val="Czcionka tekstu podstawowego"/>
        <family val="2"/>
      </rPr>
      <t>P</t>
    </r>
    <r>
      <rPr>
        <sz val="9"/>
        <rFont val="Czcionka tekstu podstawowego"/>
        <family val="2"/>
      </rPr>
      <t>rojektowe</t>
    </r>
  </si>
  <si>
    <r>
      <rPr>
        <b/>
        <sz val="9"/>
        <rFont val="Czcionka tekstu podstawowego"/>
        <family val="2"/>
      </rPr>
      <t>U</t>
    </r>
    <r>
      <rPr>
        <sz val="9"/>
        <rFont val="Czcionka tekstu podstawowego"/>
        <family val="2"/>
      </rPr>
      <t xml:space="preserve">sługi </t>
    </r>
  </si>
  <si>
    <r>
      <rPr>
        <b/>
        <sz val="9"/>
        <rFont val="Czcionka tekstu podstawowego"/>
        <family val="2"/>
      </rPr>
      <t>U</t>
    </r>
    <r>
      <rPr>
        <sz val="9"/>
        <rFont val="Czcionka tekstu podstawowego"/>
        <family val="2"/>
      </rPr>
      <t xml:space="preserve">mowa </t>
    </r>
    <r>
      <rPr>
        <b/>
        <sz val="9"/>
        <rFont val="Czcionka tekstu podstawowego"/>
        <family val="2"/>
      </rPr>
      <t>Z</t>
    </r>
    <r>
      <rPr>
        <sz val="9"/>
        <rFont val="Czcionka tekstu podstawowego"/>
        <family val="2"/>
      </rPr>
      <t>lecenie, Płace</t>
    </r>
  </si>
  <si>
    <t xml:space="preserve">PLAN RZECZOWO-FINANSOWY </t>
  </si>
  <si>
    <t>Pismo z dnia  03-09-2012</t>
  </si>
  <si>
    <t>Zamontowanie na szybach okiennych elewacji wschodniej foli odbijającej promienie słoneczne (bez piętra 7)</t>
  </si>
  <si>
    <t xml:space="preserve">Kierownictwo D.S. nie wyraża zgody. </t>
  </si>
  <si>
    <t>Usunięciem przyczyn zapadnięcia się chodnika wzdłuż ściany frontowej budynku przy ul. Sienkiewicza 5, oraz wykonaniem nowej izolacji ścian przyziemia w tym rejonie.</t>
  </si>
  <si>
    <t>PRIORYTET 2013</t>
  </si>
  <si>
    <t>REZERWA 2013</t>
  </si>
  <si>
    <t>Pismo z dnia 22.07.2011,                oraz pismo z dnia  23-11-2012</t>
  </si>
  <si>
    <t>Krakowska Szkoła Biznesu</t>
  </si>
  <si>
    <t>Wł. Dębowski            M. Cora</t>
  </si>
  <si>
    <t>Kier. Katedry Prawa- B. Gnela</t>
  </si>
  <si>
    <t>USŁUGI KONSERWACJI W OKRESIE GWARANCJI</t>
  </si>
  <si>
    <t xml:space="preserve">Projekt koncepcyjny architektoniczny dla zadania: Rozbudowa kampusu UEK o Wydział Towaroznawstwa </t>
  </si>
  <si>
    <t>ARCHIWUM UEK</t>
  </si>
  <si>
    <t xml:space="preserve">PILNOŚĆ REALIZACJI   w 2013r                                             </t>
  </si>
  <si>
    <t>Z.O.D. w Dębicy                    BUDYNEK nr  1-B</t>
  </si>
  <si>
    <t>Pismo z dnia 28.01.2013</t>
  </si>
  <si>
    <t>Rozbudowa wymiennikowni centralnego ogrzewania, ciepłej wody użytkowej i ciepła technologicznego zasilania nagrzewnic central wentylacyjnych o dostawę i montaż zasobnika ciepłej wody o pojemności 350 l.</t>
  </si>
  <si>
    <t>Przebudowa wymiennikowni ciepła oraz modernizacja wewnętrznej instalacji c.o.</t>
  </si>
  <si>
    <t>Przebudowa wewnętrznej instalacji c.o.</t>
  </si>
  <si>
    <t>Pismo z dnia 13.12.2012</t>
  </si>
  <si>
    <t>DECYZJA  HD-PG-430-221007-1/12/D20</t>
  </si>
  <si>
    <t>Przystosowanie sześciu pomieszczeń w Pawilonie      B i E  w celu stworzenia nowoczesnego centrum obsługi studentów i doktorantów Krakowskiej Szkoły Biznesu.                                                                                     Zakres prac: roboty rozbiórkowe, instalowanie ścianek działowych, wymiana i  rozbudowa instalacji elektrycznej i  strukturalnej, wymiana wykładziny podłogowej, roboty malarskie.</t>
  </si>
  <si>
    <t xml:space="preserve">Pawilon B             </t>
  </si>
  <si>
    <t>Teren UEK                    Wydział Towaroznawstwa</t>
  </si>
  <si>
    <t>Teren UEK Akademik</t>
  </si>
  <si>
    <t xml:space="preserve"> R-CI-233-3/11 </t>
  </si>
  <si>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oboty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>udowlane</t>
    </r>
  </si>
  <si>
    <r>
      <rPr>
        <b/>
        <sz val="12"/>
        <rFont val="Arial"/>
        <family val="2"/>
      </rPr>
      <t>U</t>
    </r>
    <r>
      <rPr>
        <sz val="12"/>
        <rFont val="Arial"/>
        <family val="2"/>
      </rPr>
      <t xml:space="preserve">sługi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rojektowe</t>
    </r>
  </si>
  <si>
    <r>
      <rPr>
        <b/>
        <sz val="12"/>
        <rFont val="Arial"/>
        <family val="2"/>
      </rPr>
      <t>U</t>
    </r>
    <r>
      <rPr>
        <sz val="12"/>
        <rFont val="Arial"/>
        <family val="2"/>
      </rPr>
      <t xml:space="preserve">sługi </t>
    </r>
  </si>
  <si>
    <r>
      <rPr>
        <b/>
        <sz val="12"/>
        <rFont val="Arial"/>
        <family val="2"/>
      </rPr>
      <t>U</t>
    </r>
    <r>
      <rPr>
        <sz val="12"/>
        <rFont val="Arial"/>
        <family val="2"/>
      </rPr>
      <t xml:space="preserve">mowa </t>
    </r>
    <r>
      <rPr>
        <b/>
        <sz val="12"/>
        <rFont val="Arial"/>
        <family val="2"/>
      </rPr>
      <t>Z</t>
    </r>
    <r>
      <rPr>
        <sz val="12"/>
        <rFont val="Arial"/>
        <family val="2"/>
      </rPr>
      <t>lecenie, Płace</t>
    </r>
  </si>
  <si>
    <t>Usunięcie przyczyn zawilgocenia i zagrzybienia przez wykonanie izolacji wewnętrznej oraz malowanie pomieszczeń magazynowych</t>
  </si>
  <si>
    <t>termin realizacji do 31.05.2013</t>
  </si>
  <si>
    <t>termin realizacji do 30.09.2013</t>
  </si>
  <si>
    <t>Inwestycja rozpoczęta w 2012</t>
  </si>
  <si>
    <t>Kontynuacja                                            PODZIAŁ KOSZTÓW                                                         35% Paw. A                                            35% Paw. B                                       15% Paw. C                                        15% Paw. E</t>
  </si>
  <si>
    <t xml:space="preserve">Dokumentacja projektowa dla zadania: Wykonanie klimatyzacji w pokojach biurowo-administracyjnych w części południowo- wschodniej budynku z zastosowaniem folii PCV na szybach </t>
  </si>
  <si>
    <t>IV opcja koncepcji techniczno-ekonomicznej z czerwca 2012roku.</t>
  </si>
  <si>
    <t>Remont pomieszczeń  zajmowanych przez Katedrę Informatyki i Katedrę Systemów Obliczeniowych- pokoje 425, 426, 427, 429, 430, 432, 434, 435, 436, 437, 438, 439.                                                Zakres prac:                                                                                                -wymiana wykładzin i malowanie</t>
  </si>
  <si>
    <t xml:space="preserve">Remont generalny pokoju 413 zajmowanego przez Katedrę  Prawa           Zakres prac:                                                            położenie wykładziny PCV, wymiana grzejników, wymiana sufitu podwieszanego, remont instalacji elektrycznej z nowym rozmieszczeniem gniazd, malowanie.                                                                       </t>
  </si>
  <si>
    <t>Wniosek o Realizację Zamówienia: KI/7/2012, KI/8/2012</t>
  </si>
  <si>
    <t>Wniosek o Realizację Zamówienia: WF-KP-15/2012</t>
  </si>
  <si>
    <t xml:space="preserve">Dział Techniczny </t>
  </si>
  <si>
    <t>Pismo z dnia 05-02-2013 wraz z protokołem przeglądu technicznego kotła</t>
  </si>
  <si>
    <t>Konserwacja w okresie gwarancji systemu SAP w zakresie zrealizowanej inwestycji pn. Wymiana centrali ppoż. wraz z instalacją i czujkami w celu dostosowania do obowiązujących przepisów ppoż.  w budynku Biblioteki Głównej</t>
  </si>
  <si>
    <t>Konserwacja w okresie gwarancji systemu SAP w zakresie zrealizowanej inwestycji pn. Wymiana centrali ppoż. wraz z instalacją i czujkami w celu dostosowania do obowiązujących przepisów ppoż. w DS. FAFIK</t>
  </si>
  <si>
    <t>Konserwacja w okresie gwarancji systemu SAP w zakresie zrealizowanej inwestycji pn."Wymiana centrali ppoż. wraz z instalacją i czujkami w celu dostosowania do obowiązujących przepisów ppoż. W Paw. A,B,C,E</t>
  </si>
  <si>
    <t>PLANOWANE SZACUNKOWE NAKŁADY NA ROBOTY REMONTOWE                                                                                                    [brutto]</t>
  </si>
  <si>
    <t>Kier. katedry Informatyki- J.Wołoszyn, Kier. Katedry Systemów Obliczeniowych P. lula</t>
  </si>
  <si>
    <t>Położenie wykładziny PCV w korytarzu przylegającym do pomieszczeń zajmowanych przez Katedrę Informatyki i Katedrę Systemów Obliczeniowych- IV p.</t>
  </si>
  <si>
    <t>Położenie wykładziny PCV w korytarzu przylegającym do pomieszczeń zajmowanych przez Katedrę Prawa- IV p.</t>
  </si>
  <si>
    <r>
      <rPr>
        <b/>
        <sz val="10"/>
        <rFont val="Czcionka tekstu podstawowego"/>
        <family val="2"/>
      </rPr>
      <t>R</t>
    </r>
    <r>
      <rPr>
        <sz val="10"/>
        <rFont val="Czcionka tekstu podstawowego"/>
        <family val="2"/>
      </rPr>
      <t xml:space="preserve">oboty </t>
    </r>
    <r>
      <rPr>
        <b/>
        <sz val="10"/>
        <rFont val="Czcionka tekstu podstawowego"/>
        <family val="2"/>
      </rPr>
      <t>B</t>
    </r>
    <r>
      <rPr>
        <sz val="10"/>
        <rFont val="Czcionka tekstu podstawowego"/>
        <family val="2"/>
      </rPr>
      <t>udowlane</t>
    </r>
  </si>
  <si>
    <r>
      <rPr>
        <b/>
        <sz val="10"/>
        <rFont val="Czcionka tekstu podstawowego"/>
        <family val="2"/>
      </rPr>
      <t>U</t>
    </r>
    <r>
      <rPr>
        <sz val="10"/>
        <rFont val="Czcionka tekstu podstawowego"/>
        <family val="2"/>
      </rPr>
      <t xml:space="preserve">sługi </t>
    </r>
    <r>
      <rPr>
        <b/>
        <sz val="10"/>
        <rFont val="Czcionka tekstu podstawowego"/>
        <family val="2"/>
      </rPr>
      <t>P</t>
    </r>
    <r>
      <rPr>
        <sz val="10"/>
        <rFont val="Czcionka tekstu podstawowego"/>
        <family val="2"/>
      </rPr>
      <t>rojektowe</t>
    </r>
  </si>
  <si>
    <r>
      <rPr>
        <b/>
        <sz val="10"/>
        <rFont val="Czcionka tekstu podstawowego"/>
        <family val="2"/>
      </rPr>
      <t>U</t>
    </r>
    <r>
      <rPr>
        <sz val="10"/>
        <rFont val="Czcionka tekstu podstawowego"/>
        <family val="2"/>
      </rPr>
      <t xml:space="preserve">sługi </t>
    </r>
  </si>
  <si>
    <r>
      <rPr>
        <b/>
        <sz val="10"/>
        <rFont val="Czcionka tekstu podstawowego"/>
        <family val="2"/>
      </rPr>
      <t>U</t>
    </r>
    <r>
      <rPr>
        <sz val="10"/>
        <rFont val="Czcionka tekstu podstawowego"/>
        <family val="2"/>
      </rPr>
      <t xml:space="preserve">mowa </t>
    </r>
    <r>
      <rPr>
        <b/>
        <sz val="10"/>
        <rFont val="Czcionka tekstu podstawowego"/>
        <family val="2"/>
      </rPr>
      <t>Z</t>
    </r>
    <r>
      <rPr>
        <sz val="10"/>
        <rFont val="Czcionka tekstu podstawowego"/>
        <family val="2"/>
      </rPr>
      <t>lecenie, Płace</t>
    </r>
  </si>
  <si>
    <t>Środki UE</t>
  </si>
  <si>
    <t>Środki ZEWNETRZNE</t>
  </si>
  <si>
    <t>Środki ZEWNĘTRZNE</t>
  </si>
  <si>
    <t>Pismo z dnia 04.01.2013</t>
  </si>
  <si>
    <t>Przebudowa i dostosowanie  pomieszczeń po byłym magazynie chemicznym  dla potrzeb Archiwum UEK w celu przechowywania ok. 1100mb dokumentacji              Zakres prac:                                                                       Wyburzenia, Instalacja elektryczna, wentylacja mechaniczna, posadzka z płytek gresowych, izolacja wewnętrzna ścian wraz z odgrzybianiem, malowanie, dostawa i m-aż regałów przesuwnych</t>
  </si>
  <si>
    <t>R</t>
  </si>
  <si>
    <t>P</t>
  </si>
  <si>
    <t>Projekt i wykonanie Inwesor zewnętrzny</t>
  </si>
  <si>
    <t xml:space="preserve">NA ROBOTY REMONTOWE, INWESTYCYJNE i USŁUGI  </t>
  </si>
  <si>
    <r>
      <rPr>
        <b/>
        <sz val="12"/>
        <rFont val="Arial"/>
        <family val="2"/>
      </rPr>
      <t>P</t>
    </r>
    <r>
      <rPr>
        <b/>
        <sz val="10"/>
        <rFont val="Arial"/>
        <family val="2"/>
      </rPr>
      <t>-Priorytet</t>
    </r>
  </si>
  <si>
    <r>
      <rPr>
        <b/>
        <sz val="12"/>
        <rFont val="Arial"/>
        <family val="2"/>
      </rPr>
      <t>R</t>
    </r>
    <r>
      <rPr>
        <b/>
        <sz val="10"/>
        <rFont val="Arial"/>
        <family val="2"/>
      </rPr>
      <t>-Rezerwa</t>
    </r>
  </si>
  <si>
    <r>
      <rPr>
        <b/>
        <sz val="12"/>
        <rFont val="Arial"/>
        <family val="2"/>
      </rPr>
      <t>O</t>
    </r>
    <r>
      <rPr>
        <b/>
        <sz val="10"/>
        <rFont val="Arial"/>
        <family val="2"/>
      </rPr>
      <t>-Odrzucone</t>
    </r>
  </si>
  <si>
    <t>W trakcie realizacji                 Wniosek niezaplanowany K-DIR-271/029/2012</t>
  </si>
  <si>
    <t>Nr poz. PZP</t>
  </si>
  <si>
    <t>K-ADS 444-3/2012 poz. 1,6</t>
  </si>
  <si>
    <t xml:space="preserve">1. Remont kabin prysznicowych                                          2. Remont apartamentów gościnnych. </t>
  </si>
  <si>
    <t>K-ADS 444-3/2012 poz. 4,7,8,9</t>
  </si>
  <si>
    <t>K-ADS 444-3/2012 poz. 2,3,5</t>
  </si>
  <si>
    <t>Remont pomieszczeń w przyziemiu budynku.         ZAKRES:                                                                                           -remint fragmentu ściany w magazynie pościeli,                   -wyremontowanie jednego pomieszczenia na potrzeby studentów                                                        -remont Sali sportowej                                                     -wyremontowanie jednego pomieszczenia  z przeznaczeniem na pokój socjalny</t>
  </si>
  <si>
    <t>Remont elementów zewnętrznych budynku                 ZAKRES:                                                                            - remont cokołu tynku zewnętrznego                            - remont elementów na dachu-komina, muru ogniowego, gzymsu                                                     -remont rynien i obróbek blacharskich na tarasie</t>
  </si>
  <si>
    <r>
      <t>Wymiana wraz z rozbudową</t>
    </r>
    <r>
      <rPr>
        <b/>
        <sz val="12"/>
        <rFont val="Czcionka tekstu podstawowego"/>
        <family val="0"/>
      </rPr>
      <t xml:space="preserve"> Systemu Alarmu  Pożarowego</t>
    </r>
    <r>
      <rPr>
        <sz val="12"/>
        <rFont val="Czcionka tekstu podstawowego"/>
        <family val="0"/>
      </rPr>
      <t xml:space="preserve"> w Pawilonach A,B,C,E  w celu dostosowania do obowiązujących przepisów p-poż</t>
    </r>
  </si>
  <si>
    <t>I/6b/2012</t>
  </si>
  <si>
    <t>Kontynuacja. Poniesione koszty od początku Inwestycji -                     11 410,01zł brutto [nr wniosku K-DIR-271-RZ/20/2011]</t>
  </si>
  <si>
    <t>Kontynuacja. Poniesione koszty od początku Inwestycji -                     455 821,00zł brutto [nr wniosku K-DIR-271/10/2012]</t>
  </si>
  <si>
    <t>Kontynuacja.                      [nr wniosku K-DIR-271/10/2012]</t>
  </si>
  <si>
    <t>Kontynuacja. Poniesione koszty w 2012r=1476,00zł                [nr wniosku K-DIR-271/06/2011]</t>
  </si>
  <si>
    <t>Kontynuacja.                      [nr wniosku K-DIR-271/11/2012]</t>
  </si>
  <si>
    <t>Remont schodów wejściowych do D.S. Merkury</t>
  </si>
  <si>
    <t>Remont pochylni dla osób niepełnosprawnych</t>
  </si>
  <si>
    <t>Remont apartementu nr 5  na parterze budynku dla osób niepełnosprawnych</t>
  </si>
  <si>
    <t>W 2013r  wzmocnienie budynku i izolacja fundamentów za kwotę 100 000,00zł brutto, pozostały zakres na kwotę ok.    900 000,00zł brutto do realizacji w 2014r.</t>
  </si>
  <si>
    <t>PLANOWANE SZACUNKOWE NAKŁADY INWESTYCYJNE                                                                                                    [brutto]</t>
  </si>
  <si>
    <t>PLANOWANE SZACUNKOWE NAKŁADY NA REALIZACJĘ USŁUG [brutto]</t>
  </si>
  <si>
    <t>na 2013 rok</t>
  </si>
  <si>
    <t>20-02-2013</t>
  </si>
  <si>
    <t>21-03-20132</t>
  </si>
  <si>
    <t>K-DIR USŁUGI W OKRESIE GWARANCJI</t>
  </si>
  <si>
    <t>OGÓŁEM K-DIR REMONTY, INWESTYCJE i USŁUGI</t>
  </si>
  <si>
    <t xml:space="preserve">Zestawienie szacunkowych wydatków finansowych na roboty remontowe, inwestycyjne i usługi w zakresie obszaru działania          K-DIR  w roku 2013                   </t>
  </si>
  <si>
    <t>2013 rok [brutto]</t>
  </si>
  <si>
    <t xml:space="preserve">w tym: </t>
  </si>
  <si>
    <t>PRIORYTET</t>
  </si>
  <si>
    <t>REZERWA</t>
  </si>
  <si>
    <t>Kompletna dokumentacja projektowo-kosztorysowa ze wszystkimi uzgodnieniami  dla zadania: "Wykonanie kotłowni parowej z instalacją gazową i elektryczną w budynku USTRONIE"</t>
  </si>
  <si>
    <t>Wykonanie kotłowni parowej z instalacją gazową i elektryczną w budynku "USTRONIE"</t>
  </si>
  <si>
    <t>Zalecenia zawarte w protokole z przeglądu technicznego kotła w 2012r.</t>
  </si>
  <si>
    <t>Sienkiewicza 4</t>
  </si>
  <si>
    <t>Wykonanie podestu dla obsługi central wentylacyjnych zainstalowanych w pomieszczeniu maszynowni w budynku przy ul. Sienkiewicza 4</t>
  </si>
  <si>
    <t>Teren UEK</t>
  </si>
  <si>
    <t>Projekt zagospodarowania terenu nowozakupionej działki nr 231/4 z przeznaczeniem na parking wielostanowiskowy z małą architekturą wraz z uzyskaniem niezbędnych uzgodnień i pozwoleń</t>
  </si>
  <si>
    <t>Wykonanie wentylacji mechanicznej w Sali dydaktycznej "PATIO"</t>
  </si>
  <si>
    <t>Wymiana drzwi w pokojach studenckich z zamontowaniem zamka systemowego                          Malowanie pokoi studenckich wraz z wymianą szaf.</t>
  </si>
  <si>
    <t>3 PIĘTRA wykonane                                 4 PIĘTRA 2013                            3 PIĘTER sukcesywnie do 2016</t>
  </si>
  <si>
    <t>całośc FPMSiD</t>
  </si>
  <si>
    <t>400000,00zl    FPMSiD</t>
  </si>
  <si>
    <t>w tym 600 000,00zł FPMSiD</t>
  </si>
  <si>
    <t>wersja do ZATWIERDZENIA</t>
  </si>
  <si>
    <t>22-02-2013</t>
  </si>
  <si>
    <t xml:space="preserve">GENERALNY REMONT WRAZ Z TERMOMODERNIZACJĄ BUDYNKU NR 1-B                          Zakres prac:                                                                          1.Wymiana poszycia dachu                                                         2.Izolacją fundamentów i odwodnieniem budynku                                             3.Wzmocnienie budynku                                                 4.Wymiana okien                                                       5.Termomodernizacja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</si>
</sst>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10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Czcionka tekstu podstawowego"/>
      <family val="0"/>
    </font>
    <font>
      <b/>
      <sz val="12"/>
      <name val="Czcionka tekstu podstawowego"/>
      <family val="0"/>
    </font>
    <font>
      <sz val="12"/>
      <name val="Arial"/>
      <family val="2"/>
    </font>
    <font>
      <sz val="10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Czcionka tekstu podstawowego"/>
      <family val="0"/>
    </font>
    <font>
      <b/>
      <sz val="10"/>
      <name val="Czcionka tekstu podstawowego"/>
      <family val="2"/>
    </font>
    <font>
      <b/>
      <sz val="16"/>
      <name val="Czcionka tekstu podstawowego"/>
      <family val="0"/>
    </font>
    <font>
      <sz val="8"/>
      <name val="Arial CE"/>
      <family val="0"/>
    </font>
    <font>
      <sz val="8"/>
      <color indexed="10"/>
      <name val="Arial CE"/>
      <family val="0"/>
    </font>
    <font>
      <sz val="8"/>
      <color indexed="40"/>
      <name val="Arial CE"/>
      <family val="0"/>
    </font>
    <font>
      <sz val="8"/>
      <color indexed="17"/>
      <name val="Arial CE"/>
      <family val="0"/>
    </font>
    <font>
      <sz val="8"/>
      <color indexed="36"/>
      <name val="Arial CE"/>
      <family val="0"/>
    </font>
    <font>
      <sz val="8"/>
      <name val="Czcionka tekstu podstawowego"/>
      <family val="2"/>
    </font>
    <font>
      <sz val="11"/>
      <name val="Czcionka tekstu podstawowego"/>
      <family val="2"/>
    </font>
    <font>
      <b/>
      <sz val="10"/>
      <name val="Arial"/>
      <family val="2"/>
    </font>
    <font>
      <b/>
      <sz val="9"/>
      <name val="Czcionka tekstu podstawowego"/>
      <family val="2"/>
    </font>
    <font>
      <sz val="9"/>
      <name val="Czcionka tekstu podstawowego"/>
      <family val="2"/>
    </font>
    <font>
      <b/>
      <sz val="8"/>
      <name val="Czcionka tekstu podstawowego"/>
      <family val="2"/>
    </font>
    <font>
      <strike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30"/>
      <name val="Arial CE"/>
      <family val="0"/>
    </font>
    <font>
      <b/>
      <sz val="9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zcionka tekstu podstawowego"/>
      <family val="0"/>
    </font>
    <font>
      <sz val="12"/>
      <color indexed="10"/>
      <name val="Arial"/>
      <family val="2"/>
    </font>
    <font>
      <sz val="12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sz val="10"/>
      <color indexed="30"/>
      <name val="Czcionka tekstu podstawowego"/>
      <family val="0"/>
    </font>
    <font>
      <b/>
      <sz val="10"/>
      <color indexed="30"/>
      <name val="Czcionka tekstu podstawowego"/>
      <family val="0"/>
    </font>
    <font>
      <sz val="10"/>
      <color indexed="10"/>
      <name val="Czcionka tekstu podstawowego"/>
      <family val="2"/>
    </font>
    <font>
      <b/>
      <sz val="22"/>
      <color indexed="8"/>
      <name val="Czcionka tekstu podstawowego"/>
      <family val="0"/>
    </font>
    <font>
      <b/>
      <sz val="24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8"/>
      <color rgb="FF0070C0"/>
      <name val="Arial CE"/>
      <family val="0"/>
    </font>
    <font>
      <sz val="8"/>
      <color rgb="FFFF0000"/>
      <name val="Arial CE"/>
      <family val="0"/>
    </font>
    <font>
      <b/>
      <sz val="9"/>
      <color theme="1"/>
      <name val="Czcionka tekstu podstawowego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zcionka tekstu podstawowego"/>
      <family val="0"/>
    </font>
    <font>
      <sz val="12"/>
      <color rgb="FFFF0000"/>
      <name val="Arial"/>
      <family val="2"/>
    </font>
    <font>
      <sz val="12"/>
      <color theme="1"/>
      <name val="Czcionka tekstu podstawowego"/>
      <family val="2"/>
    </font>
    <font>
      <b/>
      <sz val="18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sz val="10"/>
      <color rgb="FF0070C0"/>
      <name val="Czcionka tekstu podstawowego"/>
      <family val="0"/>
    </font>
    <font>
      <b/>
      <sz val="10"/>
      <color rgb="FF0070C0"/>
      <name val="Czcionka tekstu podstawowego"/>
      <family val="0"/>
    </font>
    <font>
      <sz val="10"/>
      <color rgb="FFFF0000"/>
      <name val="Czcionka tekstu podstawowego"/>
      <family val="2"/>
    </font>
    <font>
      <b/>
      <sz val="22"/>
      <color theme="1"/>
      <name val="Czcionka tekstu podstawowego"/>
      <family val="0"/>
    </font>
    <font>
      <b/>
      <sz val="2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/>
      <top>
        <color indexed="63"/>
      </top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" fillId="0" borderId="0">
      <alignment/>
      <protection/>
    </xf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164" fontId="80" fillId="13" borderId="10" xfId="5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3" fillId="0" borderId="12" xfId="59" applyNumberFormat="1" applyFont="1" applyBorder="1" applyAlignment="1">
      <alignment vertical="center"/>
    </xf>
    <xf numFmtId="0" fontId="4" fillId="0" borderId="0" xfId="51" applyFont="1" applyAlignment="1">
      <alignment horizontal="left"/>
      <protection/>
    </xf>
    <xf numFmtId="0" fontId="7" fillId="0" borderId="0" xfId="51" applyFont="1" applyAlignment="1">
      <alignment horizontal="center"/>
      <protection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11" xfId="59" applyFont="1" applyBorder="1" applyAlignment="1">
      <alignment vertical="center" wrapText="1"/>
    </xf>
    <xf numFmtId="44" fontId="0" fillId="0" borderId="0" xfId="59" applyFont="1" applyAlignment="1">
      <alignment vertical="center" wrapText="1"/>
    </xf>
    <xf numFmtId="44" fontId="0" fillId="0" borderId="0" xfId="59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4" fontId="0" fillId="0" borderId="13" xfId="59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80" fillId="0" borderId="11" xfId="0" applyFont="1" applyBorder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9" fontId="5" fillId="0" borderId="11" xfId="53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vertical="center" wrapText="1"/>
    </xf>
    <xf numFmtId="44" fontId="5" fillId="0" borderId="11" xfId="0" applyNumberFormat="1" applyFont="1" applyBorder="1" applyAlignment="1">
      <alignment/>
    </xf>
    <xf numFmtId="0" fontId="81" fillId="0" borderId="14" xfId="0" applyFont="1" applyBorder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44" fontId="81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44" fontId="5" fillId="0" borderId="0" xfId="0" applyNumberFormat="1" applyFont="1" applyBorder="1" applyAlignment="1">
      <alignment/>
    </xf>
    <xf numFmtId="0" fontId="6" fillId="0" borderId="0" xfId="51" applyFont="1" applyAlignment="1">
      <alignment vertical="center"/>
      <protection/>
    </xf>
    <xf numFmtId="0" fontId="6" fillId="0" borderId="0" xfId="51" applyFont="1" applyAlignment="1">
      <alignment horizontal="left"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82" fillId="0" borderId="11" xfId="0" applyFont="1" applyBorder="1" applyAlignment="1">
      <alignment/>
    </xf>
    <xf numFmtId="0" fontId="8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4" fontId="5" fillId="0" borderId="0" xfId="59" applyNumberFormat="1" applyFont="1" applyAlignment="1">
      <alignment vertical="center" wrapText="1"/>
    </xf>
    <xf numFmtId="164" fontId="16" fillId="0" borderId="0" xfId="59" applyNumberFormat="1" applyFont="1" applyAlignment="1">
      <alignment vertical="center" wrapText="1"/>
    </xf>
    <xf numFmtId="44" fontId="5" fillId="0" borderId="0" xfId="59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4" fontId="5" fillId="0" borderId="11" xfId="59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4" fontId="5" fillId="0" borderId="14" xfId="59" applyFont="1" applyBorder="1" applyAlignment="1">
      <alignment vertical="center" wrapText="1"/>
    </xf>
    <xf numFmtId="164" fontId="5" fillId="0" borderId="11" xfId="59" applyNumberFormat="1" applyFont="1" applyBorder="1" applyAlignment="1">
      <alignment horizontal="center" vertical="center" wrapText="1"/>
    </xf>
    <xf numFmtId="164" fontId="5" fillId="0" borderId="14" xfId="59" applyNumberFormat="1" applyFont="1" applyBorder="1" applyAlignment="1">
      <alignment vertical="center" wrapText="1"/>
    </xf>
    <xf numFmtId="9" fontId="9" fillId="0" borderId="11" xfId="53" applyFont="1" applyBorder="1" applyAlignment="1">
      <alignment horizontal="center" vertical="center" wrapText="1"/>
    </xf>
    <xf numFmtId="9" fontId="6" fillId="0" borderId="11" xfId="53" applyFont="1" applyBorder="1" applyAlignment="1">
      <alignment vertical="center" wrapText="1"/>
    </xf>
    <xf numFmtId="9" fontId="5" fillId="0" borderId="11" xfId="53" applyFont="1" applyBorder="1" applyAlignment="1">
      <alignment horizontal="center" vertical="center" wrapText="1"/>
    </xf>
    <xf numFmtId="9" fontId="9" fillId="0" borderId="11" xfId="53" applyFont="1" applyBorder="1" applyAlignment="1">
      <alignment horizontal="center" vertical="center" wrapText="1"/>
    </xf>
    <xf numFmtId="9" fontId="5" fillId="0" borderId="11" xfId="53" applyFont="1" applyBorder="1" applyAlignment="1">
      <alignment horizontal="right" vertical="center" wrapText="1"/>
    </xf>
    <xf numFmtId="9" fontId="5" fillId="0" borderId="14" xfId="53" applyFont="1" applyBorder="1" applyAlignment="1">
      <alignment vertical="center" wrapText="1"/>
    </xf>
    <xf numFmtId="9" fontId="5" fillId="0" borderId="0" xfId="53" applyFont="1" applyAlignment="1">
      <alignment vertical="center" wrapText="1"/>
    </xf>
    <xf numFmtId="164" fontId="16" fillId="0" borderId="11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164" fontId="5" fillId="0" borderId="11" xfId="59" applyNumberFormat="1" applyFont="1" applyBorder="1" applyAlignment="1">
      <alignment vertical="center"/>
    </xf>
    <xf numFmtId="164" fontId="5" fillId="0" borderId="11" xfId="59" applyNumberFormat="1" applyFont="1" applyBorder="1" applyAlignment="1">
      <alignment vertical="center" wrapText="1"/>
    </xf>
    <xf numFmtId="164" fontId="5" fillId="0" borderId="11" xfId="59" applyNumberFormat="1" applyFont="1" applyBorder="1" applyAlignment="1">
      <alignment vertical="center" wrapText="1"/>
    </xf>
    <xf numFmtId="44" fontId="5" fillId="0" borderId="11" xfId="59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11" xfId="59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16" fillId="0" borderId="11" xfId="59" applyNumberFormat="1" applyFont="1" applyBorder="1" applyAlignment="1">
      <alignment vertical="center" wrapText="1"/>
    </xf>
    <xf numFmtId="44" fontId="5" fillId="0" borderId="11" xfId="59" applyFont="1" applyBorder="1" applyAlignment="1">
      <alignment vertical="center"/>
    </xf>
    <xf numFmtId="0" fontId="5" fillId="0" borderId="0" xfId="0" applyFont="1" applyAlignment="1">
      <alignment vertical="center"/>
    </xf>
    <xf numFmtId="164" fontId="16" fillId="0" borderId="11" xfId="0" applyNumberFormat="1" applyFont="1" applyFill="1" applyBorder="1" applyAlignment="1">
      <alignment vertical="center" wrapText="1"/>
    </xf>
    <xf numFmtId="44" fontId="0" fillId="0" borderId="0" xfId="59" applyFont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164" fontId="17" fillId="0" borderId="11" xfId="59" applyNumberFormat="1" applyFont="1" applyBorder="1" applyAlignment="1">
      <alignment vertical="center" wrapText="1"/>
    </xf>
    <xf numFmtId="44" fontId="5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4" fontId="81" fillId="0" borderId="11" xfId="0" applyNumberFormat="1" applyFont="1" applyBorder="1" applyAlignment="1">
      <alignment vertical="center"/>
    </xf>
    <xf numFmtId="164" fontId="17" fillId="0" borderId="17" xfId="59" applyNumberFormat="1" applyFont="1" applyBorder="1" applyAlignment="1">
      <alignment vertical="center" wrapText="1"/>
    </xf>
    <xf numFmtId="164" fontId="17" fillId="0" borderId="0" xfId="59" applyNumberFormat="1" applyFont="1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9" fontId="21" fillId="0" borderId="11" xfId="53" applyFont="1" applyBorder="1" applyAlignment="1">
      <alignment vertical="center" wrapText="1"/>
    </xf>
    <xf numFmtId="0" fontId="16" fillId="0" borderId="11" xfId="0" applyNumberFormat="1" applyFont="1" applyBorder="1" applyAlignment="1">
      <alignment horizontal="center" textRotation="90" wrapText="1"/>
    </xf>
    <xf numFmtId="0" fontId="0" fillId="0" borderId="0" xfId="0" applyAlignment="1">
      <alignment wrapText="1"/>
    </xf>
    <xf numFmtId="0" fontId="75" fillId="0" borderId="0" xfId="0" applyFont="1" applyAlignment="1">
      <alignment horizontal="center" wrapText="1"/>
    </xf>
    <xf numFmtId="0" fontId="0" fillId="0" borderId="0" xfId="0" applyFont="1" applyAlignment="1">
      <alignment/>
    </xf>
    <xf numFmtId="164" fontId="84" fillId="0" borderId="11" xfId="0" applyNumberFormat="1" applyFont="1" applyBorder="1" applyAlignment="1">
      <alignment vertical="center" wrapText="1"/>
    </xf>
    <xf numFmtId="164" fontId="75" fillId="0" borderId="11" xfId="59" applyNumberFormat="1" applyFont="1" applyBorder="1" applyAlignment="1">
      <alignment vertical="center" wrapText="1"/>
    </xf>
    <xf numFmtId="164" fontId="84" fillId="0" borderId="0" xfId="0" applyNumberFormat="1" applyFont="1" applyAlignment="1">
      <alignment vertical="center" wrapText="1"/>
    </xf>
    <xf numFmtId="164" fontId="0" fillId="0" borderId="0" xfId="59" applyNumberFormat="1" applyFont="1" applyAlignment="1">
      <alignment vertical="center" wrapText="1"/>
    </xf>
    <xf numFmtId="164" fontId="80" fillId="0" borderId="11" xfId="0" applyNumberFormat="1" applyFont="1" applyBorder="1" applyAlignment="1">
      <alignment vertical="center" wrapText="1"/>
    </xf>
    <xf numFmtId="164" fontId="0" fillId="0" borderId="11" xfId="59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20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9" fontId="4" fillId="0" borderId="19" xfId="53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59" applyNumberFormat="1" applyFont="1" applyAlignment="1">
      <alignment vertical="center" wrapText="1"/>
    </xf>
    <xf numFmtId="44" fontId="4" fillId="0" borderId="0" xfId="59" applyFont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4" fontId="4" fillId="0" borderId="11" xfId="59" applyNumberFormat="1" applyFont="1" applyBorder="1" applyAlignment="1">
      <alignment horizontal="center" vertical="center" wrapText="1"/>
    </xf>
    <xf numFmtId="164" fontId="4" fillId="0" borderId="14" xfId="59" applyNumberFormat="1" applyFont="1" applyBorder="1" applyAlignment="1">
      <alignment vertical="center" wrapText="1"/>
    </xf>
    <xf numFmtId="164" fontId="4" fillId="0" borderId="20" xfId="59" applyNumberFormat="1" applyFont="1" applyBorder="1" applyAlignment="1">
      <alignment vertical="center" wrapText="1"/>
    </xf>
    <xf numFmtId="9" fontId="7" fillId="0" borderId="19" xfId="53" applyFont="1" applyFill="1" applyBorder="1" applyAlignment="1">
      <alignment horizontal="center" vertical="center" wrapText="1"/>
    </xf>
    <xf numFmtId="9" fontId="7" fillId="0" borderId="19" xfId="53" applyFont="1" applyBorder="1" applyAlignment="1">
      <alignment horizontal="center" vertical="center" wrapText="1"/>
    </xf>
    <xf numFmtId="9" fontId="4" fillId="0" borderId="19" xfId="53" applyFont="1" applyBorder="1" applyAlignment="1">
      <alignment horizontal="center" vertical="center" wrapText="1"/>
    </xf>
    <xf numFmtId="9" fontId="4" fillId="0" borderId="19" xfId="53" applyFont="1" applyBorder="1" applyAlignment="1">
      <alignment horizontal="right" vertical="center" wrapText="1"/>
    </xf>
    <xf numFmtId="9" fontId="4" fillId="0" borderId="20" xfId="53" applyFont="1" applyBorder="1" applyAlignment="1">
      <alignment horizontal="center" vertical="center" wrapText="1"/>
    </xf>
    <xf numFmtId="9" fontId="4" fillId="0" borderId="11" xfId="53" applyFont="1" applyBorder="1" applyAlignment="1">
      <alignment vertical="center" wrapText="1"/>
    </xf>
    <xf numFmtId="9" fontId="4" fillId="0" borderId="0" xfId="53" applyFont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4" fillId="0" borderId="20" xfId="59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4" fillId="0" borderId="11" xfId="59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59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44" fontId="85" fillId="0" borderId="11" xfId="59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4" fontId="4" fillId="0" borderId="0" xfId="59" applyFont="1" applyAlignment="1">
      <alignment vertical="center"/>
    </xf>
    <xf numFmtId="0" fontId="4" fillId="0" borderId="0" xfId="0" applyFont="1" applyAlignment="1">
      <alignment vertical="center"/>
    </xf>
    <xf numFmtId="0" fontId="87" fillId="0" borderId="11" xfId="0" applyFont="1" applyBorder="1" applyAlignment="1">
      <alignment vertical="center" wrapText="1"/>
    </xf>
    <xf numFmtId="44" fontId="87" fillId="0" borderId="11" xfId="59" applyFont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59" applyNumberFormat="1" applyFont="1" applyBorder="1" applyAlignment="1">
      <alignment vertical="center"/>
    </xf>
    <xf numFmtId="44" fontId="7" fillId="0" borderId="0" xfId="59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64" fontId="7" fillId="0" borderId="12" xfId="59" applyNumberFormat="1" applyFont="1" applyBorder="1" applyAlignment="1">
      <alignment vertical="center"/>
    </xf>
    <xf numFmtId="44" fontId="7" fillId="0" borderId="0" xfId="59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164" fontId="88" fillId="7" borderId="11" xfId="0" applyNumberFormat="1" applyFont="1" applyFill="1" applyBorder="1" applyAlignment="1">
      <alignment vertical="center" wrapText="1"/>
    </xf>
    <xf numFmtId="164" fontId="23" fillId="7" borderId="11" xfId="59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59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4" fontId="4" fillId="0" borderId="0" xfId="59" applyFont="1" applyFill="1" applyAlignment="1">
      <alignment vertical="center"/>
    </xf>
    <xf numFmtId="0" fontId="85" fillId="0" borderId="11" xfId="0" applyFont="1" applyFill="1" applyBorder="1" applyAlignment="1">
      <alignment vertical="center" wrapText="1"/>
    </xf>
    <xf numFmtId="44" fontId="85" fillId="0" borderId="11" xfId="59" applyFont="1" applyFill="1" applyBorder="1" applyAlignment="1">
      <alignment vertical="center" wrapText="1"/>
    </xf>
    <xf numFmtId="44" fontId="87" fillId="0" borderId="11" xfId="59" applyFont="1" applyFill="1" applyBorder="1" applyAlignment="1">
      <alignment vertical="center" wrapText="1"/>
    </xf>
    <xf numFmtId="0" fontId="9" fillId="0" borderId="11" xfId="0" applyNumberFormat="1" applyFont="1" applyBorder="1" applyAlignment="1">
      <alignment vertical="center" textRotation="90" wrapText="1"/>
    </xf>
    <xf numFmtId="0" fontId="81" fillId="0" borderId="13" xfId="0" applyFont="1" applyBorder="1" applyAlignment="1">
      <alignment horizontal="center" vertical="center" wrapText="1"/>
    </xf>
    <xf numFmtId="0" fontId="81" fillId="0" borderId="13" xfId="0" applyFont="1" applyBorder="1" applyAlignment="1">
      <alignment vertical="center" wrapText="1"/>
    </xf>
    <xf numFmtId="0" fontId="90" fillId="0" borderId="13" xfId="0" applyFont="1" applyBorder="1" applyAlignment="1">
      <alignment horizontal="center" vertical="center" wrapText="1"/>
    </xf>
    <xf numFmtId="44" fontId="81" fillId="0" borderId="13" xfId="59" applyFont="1" applyBorder="1" applyAlignment="1">
      <alignment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44" fontId="81" fillId="0" borderId="11" xfId="59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44" fontId="81" fillId="0" borderId="11" xfId="59" applyFont="1" applyFill="1" applyBorder="1" applyAlignment="1">
      <alignment vertical="center" wrapText="1"/>
    </xf>
    <xf numFmtId="44" fontId="5" fillId="0" borderId="11" xfId="59" applyFont="1" applyFill="1" applyBorder="1" applyAlignment="1">
      <alignment vertical="center" wrapText="1"/>
    </xf>
    <xf numFmtId="0" fontId="90" fillId="0" borderId="0" xfId="0" applyFont="1" applyAlignment="1">
      <alignment vertical="center" wrapText="1"/>
    </xf>
    <xf numFmtId="164" fontId="90" fillId="0" borderId="11" xfId="0" applyNumberFormat="1" applyFont="1" applyBorder="1" applyAlignment="1">
      <alignment vertical="center" wrapText="1"/>
    </xf>
    <xf numFmtId="164" fontId="90" fillId="0" borderId="11" xfId="59" applyNumberFormat="1" applyFont="1" applyBorder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164" fontId="90" fillId="0" borderId="0" xfId="0" applyNumberFormat="1" applyFont="1" applyAlignment="1">
      <alignment vertical="center" wrapText="1"/>
    </xf>
    <xf numFmtId="164" fontId="81" fillId="0" borderId="0" xfId="59" applyNumberFormat="1" applyFont="1" applyAlignment="1">
      <alignment vertical="center" wrapText="1"/>
    </xf>
    <xf numFmtId="164" fontId="81" fillId="7" borderId="11" xfId="0" applyNumberFormat="1" applyFont="1" applyFill="1" applyBorder="1" applyAlignment="1">
      <alignment vertical="center" wrapText="1"/>
    </xf>
    <xf numFmtId="164" fontId="81" fillId="7" borderId="11" xfId="59" applyNumberFormat="1" applyFont="1" applyFill="1" applyBorder="1" applyAlignment="1">
      <alignment vertical="center" wrapText="1"/>
    </xf>
    <xf numFmtId="164" fontId="81" fillId="0" borderId="11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vertical="center"/>
    </xf>
    <xf numFmtId="164" fontId="9" fillId="0" borderId="12" xfId="59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44" fontId="81" fillId="0" borderId="0" xfId="59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9" fontId="20" fillId="0" borderId="11" xfId="53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90" fillId="0" borderId="11" xfId="0" applyFont="1" applyBorder="1" applyAlignment="1">
      <alignment horizontal="center" vertical="center" wrapText="1"/>
    </xf>
    <xf numFmtId="44" fontId="85" fillId="0" borderId="14" xfId="59" applyFont="1" applyBorder="1" applyAlignment="1">
      <alignment vertical="center" wrapText="1"/>
    </xf>
    <xf numFmtId="44" fontId="87" fillId="0" borderId="14" xfId="59" applyFont="1" applyBorder="1" applyAlignment="1">
      <alignment vertical="center" wrapText="1"/>
    </xf>
    <xf numFmtId="0" fontId="91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164" fontId="4" fillId="0" borderId="21" xfId="59" applyNumberFormat="1" applyFont="1" applyBorder="1" applyAlignment="1">
      <alignment vertical="center" wrapText="1"/>
    </xf>
    <xf numFmtId="164" fontId="87" fillId="0" borderId="0" xfId="0" applyNumberFormat="1" applyFont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164" fontId="4" fillId="0" borderId="16" xfId="59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59" applyNumberFormat="1" applyFont="1" applyBorder="1" applyAlignment="1">
      <alignment vertical="center" wrapText="1"/>
    </xf>
    <xf numFmtId="164" fontId="2" fillId="0" borderId="14" xfId="59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9" fontId="24" fillId="0" borderId="19" xfId="53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textRotation="90" wrapText="1"/>
    </xf>
    <xf numFmtId="0" fontId="3" fillId="0" borderId="11" xfId="0" applyFont="1" applyBorder="1" applyAlignment="1">
      <alignment vertical="center" wrapText="1"/>
    </xf>
    <xf numFmtId="164" fontId="2" fillId="0" borderId="11" xfId="59" applyNumberFormat="1" applyFont="1" applyFill="1" applyBorder="1" applyAlignment="1">
      <alignment vertical="center" wrapText="1"/>
    </xf>
    <xf numFmtId="164" fontId="4" fillId="7" borderId="11" xfId="59" applyNumberFormat="1" applyFont="1" applyFill="1" applyBorder="1" applyAlignment="1">
      <alignment vertical="center" wrapText="1"/>
    </xf>
    <xf numFmtId="44" fontId="81" fillId="0" borderId="0" xfId="0" applyNumberFormat="1" applyFont="1" applyAlignment="1">
      <alignment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64" fontId="4" fillId="0" borderId="22" xfId="59" applyNumberFormat="1" applyFont="1" applyBorder="1" applyAlignment="1">
      <alignment horizontal="center" vertical="center" wrapText="1"/>
    </xf>
    <xf numFmtId="164" fontId="4" fillId="0" borderId="23" xfId="59" applyNumberFormat="1" applyFont="1" applyBorder="1" applyAlignment="1">
      <alignment horizontal="center" vertical="center" wrapText="1"/>
    </xf>
    <xf numFmtId="9" fontId="7" fillId="0" borderId="16" xfId="53" applyFont="1" applyFill="1" applyBorder="1" applyAlignment="1">
      <alignment horizontal="center" vertical="center" wrapText="1"/>
    </xf>
    <xf numFmtId="9" fontId="7" fillId="0" borderId="16" xfId="53" applyFont="1" applyBorder="1" applyAlignment="1">
      <alignment horizontal="center" vertical="center" wrapText="1"/>
    </xf>
    <xf numFmtId="9" fontId="4" fillId="0" borderId="16" xfId="53" applyFont="1" applyBorder="1" applyAlignment="1">
      <alignment vertical="center" wrapText="1"/>
    </xf>
    <xf numFmtId="9" fontId="4" fillId="0" borderId="16" xfId="53" applyFont="1" applyBorder="1" applyAlignment="1">
      <alignment horizontal="center" vertical="center" wrapText="1"/>
    </xf>
    <xf numFmtId="9" fontId="18" fillId="0" borderId="16" xfId="53" applyFont="1" applyBorder="1" applyAlignment="1">
      <alignment vertical="center" wrapText="1"/>
    </xf>
    <xf numFmtId="9" fontId="4" fillId="0" borderId="16" xfId="53" applyFont="1" applyBorder="1" applyAlignment="1">
      <alignment horizontal="right" vertical="center" wrapText="1"/>
    </xf>
    <xf numFmtId="44" fontId="92" fillId="0" borderId="0" xfId="59" applyFont="1" applyAlignment="1">
      <alignment vertical="center"/>
    </xf>
    <xf numFmtId="0" fontId="93" fillId="0" borderId="13" xfId="0" applyFont="1" applyBorder="1" applyAlignment="1">
      <alignment vertical="center"/>
    </xf>
    <xf numFmtId="0" fontId="81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92" fillId="0" borderId="0" xfId="0" applyFont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Alignment="1">
      <alignment vertical="center" wrapText="1"/>
    </xf>
    <xf numFmtId="0" fontId="94" fillId="0" borderId="0" xfId="0" applyFont="1" applyAlignment="1">
      <alignment horizontal="center" wrapText="1"/>
    </xf>
    <xf numFmtId="44" fontId="92" fillId="0" borderId="0" xfId="59" applyFont="1" applyAlignment="1">
      <alignment vertical="center" wrapText="1"/>
    </xf>
    <xf numFmtId="0" fontId="94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4" fillId="0" borderId="14" xfId="59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/>
    </xf>
    <xf numFmtId="164" fontId="81" fillId="0" borderId="11" xfId="0" applyNumberFormat="1" applyFont="1" applyBorder="1" applyAlignment="1">
      <alignment vertical="center"/>
    </xf>
    <xf numFmtId="44" fontId="6" fillId="0" borderId="0" xfId="59" applyFont="1" applyFill="1" applyAlignment="1">
      <alignment vertical="center"/>
    </xf>
    <xf numFmtId="0" fontId="27" fillId="0" borderId="0" xfId="0" applyFont="1" applyBorder="1" applyAlignment="1">
      <alignment vertical="center" wrapText="1"/>
    </xf>
    <xf numFmtId="0" fontId="81" fillId="0" borderId="0" xfId="0" applyFont="1" applyAlignment="1">
      <alignment/>
    </xf>
    <xf numFmtId="0" fontId="90" fillId="0" borderId="0" xfId="0" applyFont="1" applyAlignment="1">
      <alignment horizontal="center"/>
    </xf>
    <xf numFmtId="0" fontId="90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44" fontId="90" fillId="0" borderId="0" xfId="59" applyFont="1" applyAlignment="1">
      <alignment horizontal="center"/>
    </xf>
    <xf numFmtId="44" fontId="81" fillId="0" borderId="0" xfId="59" applyFont="1" applyAlignment="1">
      <alignment/>
    </xf>
    <xf numFmtId="44" fontId="81" fillId="0" borderId="0" xfId="59" applyFont="1" applyAlignment="1">
      <alignment vertical="center"/>
    </xf>
    <xf numFmtId="0" fontId="81" fillId="0" borderId="12" xfId="0" applyFont="1" applyBorder="1" applyAlignment="1">
      <alignment horizontal="right"/>
    </xf>
    <xf numFmtId="44" fontId="5" fillId="0" borderId="14" xfId="0" applyNumberFormat="1" applyFont="1" applyBorder="1" applyAlignment="1">
      <alignment vertical="center"/>
    </xf>
    <xf numFmtId="44" fontId="95" fillId="0" borderId="11" xfId="59" applyFont="1" applyBorder="1" applyAlignment="1">
      <alignment vertical="center"/>
    </xf>
    <xf numFmtId="44" fontId="95" fillId="0" borderId="0" xfId="59" applyFont="1" applyAlignment="1">
      <alignment vertical="center"/>
    </xf>
    <xf numFmtId="44" fontId="95" fillId="0" borderId="11" xfId="59" applyFont="1" applyBorder="1" applyAlignment="1">
      <alignment vertical="center"/>
    </xf>
    <xf numFmtId="44" fontId="95" fillId="0" borderId="11" xfId="0" applyNumberFormat="1" applyFont="1" applyBorder="1" applyAlignment="1">
      <alignment/>
    </xf>
    <xf numFmtId="44" fontId="94" fillId="0" borderId="14" xfId="0" applyNumberFormat="1" applyFont="1" applyBorder="1" applyAlignment="1">
      <alignment vertical="center"/>
    </xf>
    <xf numFmtId="44" fontId="94" fillId="0" borderId="12" xfId="0" applyNumberFormat="1" applyFont="1" applyBorder="1" applyAlignment="1">
      <alignment vertical="center"/>
    </xf>
    <xf numFmtId="44" fontId="94" fillId="0" borderId="18" xfId="0" applyNumberFormat="1" applyFont="1" applyBorder="1" applyAlignment="1">
      <alignment vertical="center"/>
    </xf>
    <xf numFmtId="44" fontId="96" fillId="0" borderId="11" xfId="59" applyFont="1" applyBorder="1" applyAlignment="1">
      <alignment vertical="center"/>
    </xf>
    <xf numFmtId="44" fontId="96" fillId="0" borderId="11" xfId="0" applyNumberFormat="1" applyFont="1" applyBorder="1" applyAlignment="1">
      <alignment/>
    </xf>
    <xf numFmtId="44" fontId="96" fillId="0" borderId="11" xfId="59" applyFont="1" applyBorder="1" applyAlignment="1">
      <alignment horizontal="center"/>
    </xf>
    <xf numFmtId="44" fontId="95" fillId="0" borderId="11" xfId="59" applyFont="1" applyBorder="1" applyAlignment="1">
      <alignment horizontal="center"/>
    </xf>
    <xf numFmtId="44" fontId="95" fillId="0" borderId="11" xfId="59" applyFont="1" applyBorder="1" applyAlignment="1">
      <alignment horizontal="center"/>
    </xf>
    <xf numFmtId="44" fontId="3" fillId="0" borderId="14" xfId="0" applyNumberFormat="1" applyFont="1" applyBorder="1" applyAlignment="1">
      <alignment vertical="center"/>
    </xf>
    <xf numFmtId="44" fontId="3" fillId="0" borderId="12" xfId="0" applyNumberFormat="1" applyFont="1" applyBorder="1" applyAlignment="1">
      <alignment vertical="center"/>
    </xf>
    <xf numFmtId="44" fontId="3" fillId="0" borderId="18" xfId="0" applyNumberFormat="1" applyFont="1" applyBorder="1" applyAlignment="1">
      <alignment vertical="center"/>
    </xf>
    <xf numFmtId="44" fontId="94" fillId="0" borderId="13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textRotation="90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vertical="center" wrapText="1"/>
    </xf>
    <xf numFmtId="44" fontId="7" fillId="0" borderId="0" xfId="59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7" fillId="0" borderId="11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/>
    </xf>
    <xf numFmtId="44" fontId="96" fillId="0" borderId="11" xfId="0" applyNumberFormat="1" applyFont="1" applyBorder="1" applyAlignment="1">
      <alignment horizontal="center" vertical="center"/>
    </xf>
    <xf numFmtId="44" fontId="95" fillId="0" borderId="11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vertical="center" wrapText="1"/>
    </xf>
    <xf numFmtId="44" fontId="5" fillId="0" borderId="10" xfId="59" applyFont="1" applyBorder="1" applyAlignment="1">
      <alignment vertical="center" wrapText="1"/>
    </xf>
    <xf numFmtId="8" fontId="97" fillId="0" borderId="10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44" fontId="81" fillId="0" borderId="10" xfId="59" applyFont="1" applyBorder="1" applyAlignment="1">
      <alignment horizontal="center" vertical="center" wrapText="1"/>
    </xf>
    <xf numFmtId="44" fontId="81" fillId="0" borderId="16" xfId="59" applyFont="1" applyBorder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164" fontId="4" fillId="0" borderId="21" xfId="59" applyNumberFormat="1" applyFont="1" applyBorder="1" applyAlignment="1">
      <alignment vertical="center" wrapText="1"/>
    </xf>
    <xf numFmtId="164" fontId="4" fillId="0" borderId="23" xfId="59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64" fontId="4" fillId="0" borderId="10" xfId="59" applyNumberFormat="1" applyFont="1" applyBorder="1" applyAlignment="1">
      <alignment horizontal="center" vertical="center" wrapText="1"/>
    </xf>
    <xf numFmtId="164" fontId="4" fillId="0" borderId="16" xfId="59" applyNumberFormat="1" applyFont="1" applyBorder="1" applyAlignment="1">
      <alignment horizontal="center" vertical="center" wrapText="1"/>
    </xf>
    <xf numFmtId="164" fontId="4" fillId="0" borderId="24" xfId="59" applyNumberFormat="1" applyFont="1" applyBorder="1" applyAlignment="1">
      <alignment horizontal="center" vertical="center" wrapText="1"/>
    </xf>
    <xf numFmtId="164" fontId="4" fillId="0" borderId="25" xfId="59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7" fillId="0" borderId="10" xfId="0" applyFont="1" applyBorder="1" applyAlignment="1">
      <alignment vertical="center" wrapText="1"/>
    </xf>
    <xf numFmtId="0" fontId="87" fillId="0" borderId="16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98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164" fontId="5" fillId="0" borderId="14" xfId="59" applyNumberFormat="1" applyFont="1" applyBorder="1" applyAlignment="1">
      <alignment horizontal="center" vertical="center" wrapText="1"/>
    </xf>
    <xf numFmtId="164" fontId="5" fillId="0" borderId="12" xfId="59" applyNumberFormat="1" applyFont="1" applyBorder="1" applyAlignment="1">
      <alignment horizontal="center" vertical="center" wrapText="1"/>
    </xf>
    <xf numFmtId="164" fontId="5" fillId="0" borderId="18" xfId="59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ystyna%20Romaniuk\Desktop\PLAN_3_Letni\PLAN%203-LETNI%20-WERSJA%20V,IV,VII\DIR-PLAN_4_LETNI_KONCEPCJA%20%20-%20wersja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owa"/>
      <sheetName val="I wersja DIR INWESTYCJE"/>
      <sheetName val="I wersja DIR REMONTY"/>
      <sheetName val="UEK"/>
      <sheetName val="ZESTAWIENIE"/>
      <sheetName val="4letni DIR INWESTYCJE "/>
      <sheetName val="4letni DIR REMONTY "/>
      <sheetName val="WR z PLANU 3 letniego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90" zoomScaleNormal="90" zoomScaleSheetLayoutView="90" zoomScalePageLayoutView="0" workbookViewId="0" topLeftCell="A1">
      <selection activeCell="M13" sqref="M13"/>
    </sheetView>
  </sheetViews>
  <sheetFormatPr defaultColWidth="8.796875" defaultRowHeight="14.25"/>
  <cols>
    <col min="1" max="1" width="3.8984375" style="238" customWidth="1"/>
    <col min="2" max="2" width="5.5" style="244" hidden="1" customWidth="1"/>
    <col min="3" max="3" width="14.09765625" style="238" hidden="1" customWidth="1"/>
    <col min="4" max="4" width="13.3984375" style="238" customWidth="1"/>
    <col min="5" max="5" width="4.59765625" style="238" hidden="1" customWidth="1"/>
    <col min="6" max="6" width="13.59765625" style="26" customWidth="1"/>
    <col min="7" max="7" width="36.59765625" style="238" customWidth="1"/>
    <col min="8" max="8" width="6.8984375" style="235" customWidth="1"/>
    <col min="9" max="9" width="11.09765625" style="238" customWidth="1"/>
    <col min="10" max="10" width="4" style="238" customWidth="1"/>
    <col min="11" max="11" width="13.5" style="238" hidden="1" customWidth="1"/>
    <col min="12" max="12" width="15.59765625" style="238" customWidth="1"/>
    <col min="13" max="13" width="14.69921875" style="263" customWidth="1"/>
    <col min="14" max="14" width="19.59765625" style="238" customWidth="1"/>
    <col min="15" max="15" width="14.5" style="238" customWidth="1"/>
    <col min="16" max="16" width="11.8984375" style="238" bestFit="1" customWidth="1"/>
    <col min="17" max="17" width="13.5" style="238" bestFit="1" customWidth="1"/>
    <col min="18" max="18" width="7.8984375" style="238" bestFit="1" customWidth="1"/>
    <col min="19" max="16384" width="9" style="238" customWidth="1"/>
  </cols>
  <sheetData>
    <row r="1" spans="1:14" s="50" customFormat="1" ht="23.25">
      <c r="A1" s="307" t="s">
        <v>0</v>
      </c>
      <c r="B1" s="230"/>
      <c r="C1" s="231"/>
      <c r="D1" s="231"/>
      <c r="E1" s="231"/>
      <c r="F1" s="24"/>
      <c r="G1" s="231"/>
      <c r="H1" s="232"/>
      <c r="I1" s="231"/>
      <c r="J1" s="231"/>
      <c r="K1" s="231"/>
      <c r="L1" s="231"/>
      <c r="M1" s="233"/>
      <c r="N1" s="231"/>
    </row>
    <row r="2" spans="1:15" s="235" customFormat="1" ht="78.75" customHeight="1">
      <c r="A2" s="234" t="s">
        <v>1</v>
      </c>
      <c r="B2" s="234" t="s">
        <v>2</v>
      </c>
      <c r="C2" s="234" t="s">
        <v>3</v>
      </c>
      <c r="D2" s="234" t="s">
        <v>4</v>
      </c>
      <c r="E2" s="234" t="s">
        <v>5</v>
      </c>
      <c r="F2" s="270" t="s">
        <v>6</v>
      </c>
      <c r="G2" s="234" t="s">
        <v>7</v>
      </c>
      <c r="H2" s="229" t="s">
        <v>218</v>
      </c>
      <c r="I2" s="234" t="s">
        <v>10</v>
      </c>
      <c r="J2" s="234"/>
      <c r="K2" s="234" t="s">
        <v>11</v>
      </c>
      <c r="L2" s="234" t="s">
        <v>12</v>
      </c>
      <c r="M2" s="275" t="s">
        <v>251</v>
      </c>
      <c r="N2" s="234" t="s">
        <v>13</v>
      </c>
      <c r="O2" s="234" t="s">
        <v>14</v>
      </c>
    </row>
    <row r="3" spans="1:15" ht="24">
      <c r="A3" s="47"/>
      <c r="B3" s="236"/>
      <c r="C3" s="47"/>
      <c r="D3" s="47"/>
      <c r="E3" s="47"/>
      <c r="F3" s="25"/>
      <c r="G3" s="47"/>
      <c r="H3" s="264" t="s">
        <v>99</v>
      </c>
      <c r="I3" s="47"/>
      <c r="J3" s="47"/>
      <c r="K3" s="47"/>
      <c r="L3" s="47"/>
      <c r="M3" s="371" t="s">
        <v>16</v>
      </c>
      <c r="N3" s="47"/>
      <c r="O3" s="47"/>
    </row>
    <row r="4" spans="1:15" ht="24">
      <c r="A4" s="47"/>
      <c r="B4" s="236"/>
      <c r="C4" s="47"/>
      <c r="D4" s="47"/>
      <c r="E4" s="47"/>
      <c r="F4" s="25"/>
      <c r="G4" s="47"/>
      <c r="H4" s="265" t="s">
        <v>100</v>
      </c>
      <c r="I4" s="47"/>
      <c r="J4" s="47"/>
      <c r="K4" s="47"/>
      <c r="L4" s="47"/>
      <c r="M4" s="372"/>
      <c r="N4" s="47"/>
      <c r="O4" s="47"/>
    </row>
    <row r="5" spans="1:15" ht="38.25">
      <c r="A5" s="236">
        <v>1</v>
      </c>
      <c r="B5" s="236"/>
      <c r="C5" s="47" t="s">
        <v>25</v>
      </c>
      <c r="D5" s="47" t="s">
        <v>53</v>
      </c>
      <c r="E5" s="47" t="s">
        <v>31</v>
      </c>
      <c r="F5" s="25" t="s">
        <v>25</v>
      </c>
      <c r="G5" s="47" t="s">
        <v>54</v>
      </c>
      <c r="H5" s="234" t="s">
        <v>265</v>
      </c>
      <c r="I5" s="47" t="s">
        <v>27</v>
      </c>
      <c r="J5" s="47" t="s">
        <v>103</v>
      </c>
      <c r="K5" s="47" t="s">
        <v>50</v>
      </c>
      <c r="L5" s="47" t="s">
        <v>29</v>
      </c>
      <c r="M5" s="237">
        <v>100000</v>
      </c>
      <c r="N5" s="47"/>
      <c r="O5" s="47"/>
    </row>
    <row r="6" spans="1:15" ht="76.5">
      <c r="A6" s="296">
        <v>2</v>
      </c>
      <c r="B6" s="236"/>
      <c r="C6" s="47" t="s">
        <v>244</v>
      </c>
      <c r="D6" s="47" t="s">
        <v>53</v>
      </c>
      <c r="E6" s="47"/>
      <c r="F6" s="25" t="s">
        <v>252</v>
      </c>
      <c r="G6" s="47" t="s">
        <v>242</v>
      </c>
      <c r="H6" s="234" t="s">
        <v>264</v>
      </c>
      <c r="I6" s="47" t="s">
        <v>27</v>
      </c>
      <c r="J6" s="47" t="s">
        <v>103</v>
      </c>
      <c r="K6" s="47" t="s">
        <v>44</v>
      </c>
      <c r="L6" s="47" t="s">
        <v>29</v>
      </c>
      <c r="M6" s="239">
        <v>105000</v>
      </c>
      <c r="N6" s="47"/>
      <c r="O6" s="47"/>
    </row>
    <row r="7" spans="1:15" ht="72">
      <c r="A7" s="236">
        <v>3</v>
      </c>
      <c r="B7" s="236"/>
      <c r="C7" s="47" t="s">
        <v>244</v>
      </c>
      <c r="D7" s="47" t="s">
        <v>53</v>
      </c>
      <c r="E7" s="47"/>
      <c r="F7" s="25" t="s">
        <v>252</v>
      </c>
      <c r="G7" s="47" t="s">
        <v>253</v>
      </c>
      <c r="H7" s="234" t="s">
        <v>265</v>
      </c>
      <c r="I7" s="47" t="s">
        <v>27</v>
      </c>
      <c r="J7" s="47" t="s">
        <v>103</v>
      </c>
      <c r="K7" s="47" t="s">
        <v>44</v>
      </c>
      <c r="L7" s="47" t="s">
        <v>29</v>
      </c>
      <c r="M7" s="239">
        <v>12300</v>
      </c>
      <c r="N7" s="47"/>
      <c r="O7" s="47"/>
    </row>
    <row r="8" spans="1:15" ht="76.5">
      <c r="A8" s="296">
        <v>4</v>
      </c>
      <c r="B8" s="236"/>
      <c r="C8" s="47" t="s">
        <v>245</v>
      </c>
      <c r="D8" s="47" t="s">
        <v>53</v>
      </c>
      <c r="E8" s="47"/>
      <c r="F8" s="25" t="s">
        <v>214</v>
      </c>
      <c r="G8" s="47" t="s">
        <v>243</v>
      </c>
      <c r="H8" s="234" t="s">
        <v>265</v>
      </c>
      <c r="I8" s="47" t="s">
        <v>27</v>
      </c>
      <c r="J8" s="47" t="s">
        <v>103</v>
      </c>
      <c r="K8" s="47" t="s">
        <v>44</v>
      </c>
      <c r="L8" s="47" t="s">
        <v>29</v>
      </c>
      <c r="M8" s="239">
        <v>24600</v>
      </c>
      <c r="N8" s="47"/>
      <c r="O8" s="47"/>
    </row>
    <row r="9" spans="1:15" ht="51">
      <c r="A9" s="236">
        <v>5</v>
      </c>
      <c r="B9" s="236"/>
      <c r="C9" s="47" t="s">
        <v>245</v>
      </c>
      <c r="D9" s="47" t="s">
        <v>53</v>
      </c>
      <c r="E9" s="47"/>
      <c r="F9" s="25" t="s">
        <v>214</v>
      </c>
      <c r="G9" s="47" t="s">
        <v>254</v>
      </c>
      <c r="H9" s="234" t="s">
        <v>265</v>
      </c>
      <c r="I9" s="47" t="s">
        <v>27</v>
      </c>
      <c r="J9" s="47" t="s">
        <v>103</v>
      </c>
      <c r="K9" s="47" t="s">
        <v>44</v>
      </c>
      <c r="L9" s="47" t="s">
        <v>29</v>
      </c>
      <c r="M9" s="239">
        <v>18400</v>
      </c>
      <c r="N9" s="47"/>
      <c r="O9" s="47"/>
    </row>
    <row r="10" spans="1:15" ht="50.25" customHeight="1">
      <c r="A10" s="296">
        <v>6</v>
      </c>
      <c r="B10" s="236"/>
      <c r="C10" s="47"/>
      <c r="D10" s="47" t="s">
        <v>58</v>
      </c>
      <c r="E10" s="47"/>
      <c r="F10" s="25" t="s">
        <v>33</v>
      </c>
      <c r="G10" s="47" t="s">
        <v>62</v>
      </c>
      <c r="H10" s="234" t="s">
        <v>265</v>
      </c>
      <c r="I10" s="47" t="s">
        <v>27</v>
      </c>
      <c r="J10" s="47" t="s">
        <v>103</v>
      </c>
      <c r="K10" s="47" t="s">
        <v>28</v>
      </c>
      <c r="L10" s="47" t="s">
        <v>29</v>
      </c>
      <c r="M10" s="237">
        <v>64300</v>
      </c>
      <c r="N10" s="47" t="s">
        <v>271</v>
      </c>
      <c r="O10" s="47"/>
    </row>
    <row r="11" spans="1:15" ht="63.75">
      <c r="A11" s="236">
        <v>7</v>
      </c>
      <c r="B11" s="236"/>
      <c r="C11" s="47" t="s">
        <v>273</v>
      </c>
      <c r="D11" s="47" t="s">
        <v>65</v>
      </c>
      <c r="E11" s="47" t="s">
        <v>31</v>
      </c>
      <c r="F11" s="25" t="s">
        <v>66</v>
      </c>
      <c r="G11" s="47" t="s">
        <v>274</v>
      </c>
      <c r="H11" s="234" t="s">
        <v>265</v>
      </c>
      <c r="I11" s="47" t="s">
        <v>27</v>
      </c>
      <c r="J11" s="47" t="s">
        <v>103</v>
      </c>
      <c r="K11" s="47" t="s">
        <v>44</v>
      </c>
      <c r="L11" s="47" t="s">
        <v>67</v>
      </c>
      <c r="M11" s="237">
        <f>75000*1.08+15000</f>
        <v>96000</v>
      </c>
      <c r="N11" s="47"/>
      <c r="O11" s="361" t="s">
        <v>312</v>
      </c>
    </row>
    <row r="12" spans="1:16" ht="111.75" customHeight="1">
      <c r="A12" s="296">
        <v>8</v>
      </c>
      <c r="B12" s="236"/>
      <c r="C12" s="47" t="s">
        <v>275</v>
      </c>
      <c r="D12" s="47" t="s">
        <v>65</v>
      </c>
      <c r="E12" s="47" t="s">
        <v>34</v>
      </c>
      <c r="F12" s="25" t="s">
        <v>66</v>
      </c>
      <c r="G12" s="47" t="s">
        <v>277</v>
      </c>
      <c r="H12" s="234" t="s">
        <v>265</v>
      </c>
      <c r="I12" s="47" t="s">
        <v>27</v>
      </c>
      <c r="J12" s="47" t="s">
        <v>103</v>
      </c>
      <c r="K12" s="47" t="s">
        <v>44</v>
      </c>
      <c r="L12" s="47" t="s">
        <v>67</v>
      </c>
      <c r="M12" s="237">
        <f>(10000+5000+18000+20000+12000)*1.08</f>
        <v>70200</v>
      </c>
      <c r="N12" s="47"/>
      <c r="O12" s="361" t="s">
        <v>312</v>
      </c>
      <c r="P12" s="295"/>
    </row>
    <row r="13" spans="1:16" ht="86.25" customHeight="1">
      <c r="A13" s="236">
        <v>9</v>
      </c>
      <c r="B13" s="236"/>
      <c r="C13" s="47" t="s">
        <v>276</v>
      </c>
      <c r="D13" s="47" t="s">
        <v>65</v>
      </c>
      <c r="E13" s="47" t="s">
        <v>34</v>
      </c>
      <c r="F13" s="25" t="s">
        <v>66</v>
      </c>
      <c r="G13" s="47" t="s">
        <v>278</v>
      </c>
      <c r="H13" s="234" t="s">
        <v>265</v>
      </c>
      <c r="I13" s="47" t="s">
        <v>27</v>
      </c>
      <c r="J13" s="47" t="s">
        <v>103</v>
      </c>
      <c r="K13" s="47" t="s">
        <v>44</v>
      </c>
      <c r="L13" s="47" t="s">
        <v>67</v>
      </c>
      <c r="M13" s="237">
        <f>(25000+5000)*1.08</f>
        <v>32400.000000000004</v>
      </c>
      <c r="N13" s="47"/>
      <c r="O13" s="361" t="s">
        <v>312</v>
      </c>
      <c r="P13" s="295"/>
    </row>
    <row r="14" spans="1:15" ht="63.75">
      <c r="A14" s="296">
        <v>10</v>
      </c>
      <c r="B14" s="236" t="s">
        <v>68</v>
      </c>
      <c r="C14" s="47" t="s">
        <v>69</v>
      </c>
      <c r="D14" s="47" t="s">
        <v>70</v>
      </c>
      <c r="E14" s="47" t="s">
        <v>24</v>
      </c>
      <c r="F14" s="25" t="s">
        <v>71</v>
      </c>
      <c r="G14" s="47" t="s">
        <v>72</v>
      </c>
      <c r="H14" s="234" t="s">
        <v>265</v>
      </c>
      <c r="I14" s="47" t="s">
        <v>27</v>
      </c>
      <c r="J14" s="47" t="s">
        <v>103</v>
      </c>
      <c r="K14" s="47" t="s">
        <v>44</v>
      </c>
      <c r="L14" s="47" t="s">
        <v>67</v>
      </c>
      <c r="M14" s="80">
        <v>220000</v>
      </c>
      <c r="N14" s="47" t="s">
        <v>311</v>
      </c>
      <c r="O14" s="47"/>
    </row>
    <row r="15" spans="1:15" ht="63.75">
      <c r="A15" s="236">
        <v>11</v>
      </c>
      <c r="B15" s="236" t="s">
        <v>68</v>
      </c>
      <c r="C15" s="47" t="s">
        <v>69</v>
      </c>
      <c r="D15" s="47" t="s">
        <v>70</v>
      </c>
      <c r="E15" s="47" t="s">
        <v>74</v>
      </c>
      <c r="F15" s="25" t="s">
        <v>71</v>
      </c>
      <c r="G15" s="47" t="s">
        <v>310</v>
      </c>
      <c r="H15" s="367" t="s">
        <v>265</v>
      </c>
      <c r="I15" s="47" t="s">
        <v>27</v>
      </c>
      <c r="J15" s="47" t="s">
        <v>103</v>
      </c>
      <c r="K15" s="47" t="s">
        <v>44</v>
      </c>
      <c r="L15" s="47" t="s">
        <v>67</v>
      </c>
      <c r="M15" s="368">
        <v>460000</v>
      </c>
      <c r="N15" s="47" t="s">
        <v>311</v>
      </c>
      <c r="O15" s="369" t="s">
        <v>313</v>
      </c>
    </row>
    <row r="16" spans="1:15" ht="68.25" customHeight="1">
      <c r="A16" s="236">
        <v>13</v>
      </c>
      <c r="B16" s="47"/>
      <c r="C16" s="47"/>
      <c r="D16" s="308" t="s">
        <v>70</v>
      </c>
      <c r="E16" s="47"/>
      <c r="F16" s="309" t="s">
        <v>71</v>
      </c>
      <c r="G16" s="47" t="s">
        <v>286</v>
      </c>
      <c r="H16" s="234" t="s">
        <v>265</v>
      </c>
      <c r="I16" s="47" t="s">
        <v>27</v>
      </c>
      <c r="J16" s="47" t="s">
        <v>103</v>
      </c>
      <c r="K16" s="47"/>
      <c r="L16" s="47" t="s">
        <v>67</v>
      </c>
      <c r="M16" s="237">
        <v>10500</v>
      </c>
      <c r="N16" s="47"/>
      <c r="O16" s="47"/>
    </row>
    <row r="17" spans="1:15" ht="24" customHeight="1">
      <c r="A17" s="296">
        <v>14</v>
      </c>
      <c r="B17" s="47"/>
      <c r="C17" s="47"/>
      <c r="D17" s="308" t="s">
        <v>70</v>
      </c>
      <c r="E17" s="47"/>
      <c r="F17" s="309" t="s">
        <v>71</v>
      </c>
      <c r="G17" s="47" t="s">
        <v>287</v>
      </c>
      <c r="H17" s="234" t="s">
        <v>265</v>
      </c>
      <c r="I17" s="47" t="s">
        <v>27</v>
      </c>
      <c r="J17" s="47" t="s">
        <v>103</v>
      </c>
      <c r="K17" s="47"/>
      <c r="L17" s="47" t="s">
        <v>36</v>
      </c>
      <c r="M17" s="237">
        <v>4500</v>
      </c>
      <c r="N17" s="47"/>
      <c r="O17" s="47"/>
    </row>
    <row r="18" spans="1:15" ht="25.5">
      <c r="A18" s="236">
        <v>15</v>
      </c>
      <c r="B18" s="47"/>
      <c r="C18" s="47"/>
      <c r="D18" s="47" t="s">
        <v>70</v>
      </c>
      <c r="E18" s="47"/>
      <c r="F18" s="25" t="s">
        <v>71</v>
      </c>
      <c r="G18" s="47" t="s">
        <v>288</v>
      </c>
      <c r="H18" s="234" t="s">
        <v>265</v>
      </c>
      <c r="I18" s="47" t="s">
        <v>27</v>
      </c>
      <c r="J18" s="47" t="s">
        <v>103</v>
      </c>
      <c r="K18" s="47"/>
      <c r="L18" s="47" t="s">
        <v>36</v>
      </c>
      <c r="M18" s="237">
        <v>6500</v>
      </c>
      <c r="N18" s="47"/>
      <c r="O18" s="47"/>
    </row>
    <row r="19" spans="1:15" ht="51">
      <c r="A19" s="296">
        <v>16</v>
      </c>
      <c r="B19" s="47"/>
      <c r="C19" s="47"/>
      <c r="D19" s="47" t="s">
        <v>305</v>
      </c>
      <c r="E19" s="47"/>
      <c r="F19" s="25" t="s">
        <v>33</v>
      </c>
      <c r="G19" s="47" t="s">
        <v>306</v>
      </c>
      <c r="H19" s="234" t="s">
        <v>265</v>
      </c>
      <c r="I19" s="47" t="s">
        <v>27</v>
      </c>
      <c r="J19" s="47" t="s">
        <v>103</v>
      </c>
      <c r="K19" s="47"/>
      <c r="L19" s="47" t="s">
        <v>29</v>
      </c>
      <c r="M19" s="237">
        <v>7400</v>
      </c>
      <c r="N19" s="47"/>
      <c r="O19" s="47"/>
    </row>
    <row r="20" spans="1:15" ht="51">
      <c r="A20" s="236">
        <v>17</v>
      </c>
      <c r="B20" s="236" t="s">
        <v>77</v>
      </c>
      <c r="C20" s="47" t="s">
        <v>211</v>
      </c>
      <c r="D20" s="47" t="s">
        <v>75</v>
      </c>
      <c r="E20" s="47" t="s">
        <v>30</v>
      </c>
      <c r="F20" s="25" t="s">
        <v>78</v>
      </c>
      <c r="G20" s="47" t="s">
        <v>79</v>
      </c>
      <c r="H20" s="234" t="s">
        <v>265</v>
      </c>
      <c r="I20" s="47" t="s">
        <v>27</v>
      </c>
      <c r="J20" s="47" t="s">
        <v>103</v>
      </c>
      <c r="K20" s="47" t="s">
        <v>44</v>
      </c>
      <c r="L20" s="47" t="s">
        <v>29</v>
      </c>
      <c r="M20" s="237">
        <v>61500</v>
      </c>
      <c r="N20" s="47" t="s">
        <v>80</v>
      </c>
      <c r="O20" s="47"/>
    </row>
    <row r="21" spans="1:15" s="30" customFormat="1" ht="51">
      <c r="A21" s="296">
        <v>18</v>
      </c>
      <c r="B21" s="75"/>
      <c r="C21" s="4" t="s">
        <v>205</v>
      </c>
      <c r="D21" s="4" t="s">
        <v>75</v>
      </c>
      <c r="E21" s="4"/>
      <c r="F21" s="152" t="s">
        <v>78</v>
      </c>
      <c r="G21" s="4" t="s">
        <v>208</v>
      </c>
      <c r="H21" s="81" t="s">
        <v>265</v>
      </c>
      <c r="I21" s="47" t="s">
        <v>27</v>
      </c>
      <c r="J21" s="47" t="s">
        <v>103</v>
      </c>
      <c r="K21" s="47" t="s">
        <v>28</v>
      </c>
      <c r="L21" s="47" t="s">
        <v>29</v>
      </c>
      <c r="M21" s="240">
        <v>45200</v>
      </c>
      <c r="N21" s="4" t="s">
        <v>236</v>
      </c>
      <c r="O21" s="4"/>
    </row>
    <row r="22" spans="1:15" s="30" customFormat="1" ht="38.25">
      <c r="A22" s="236">
        <v>19</v>
      </c>
      <c r="B22" s="75"/>
      <c r="C22" s="4" t="s">
        <v>205</v>
      </c>
      <c r="D22" s="4" t="s">
        <v>75</v>
      </c>
      <c r="E22" s="4"/>
      <c r="F22" s="152" t="s">
        <v>78</v>
      </c>
      <c r="G22" s="4" t="s">
        <v>235</v>
      </c>
      <c r="H22" s="81" t="s">
        <v>265</v>
      </c>
      <c r="I22" s="47" t="s">
        <v>27</v>
      </c>
      <c r="J22" s="47" t="s">
        <v>103</v>
      </c>
      <c r="K22" s="47" t="s">
        <v>28</v>
      </c>
      <c r="L22" s="47" t="s">
        <v>29</v>
      </c>
      <c r="M22" s="240">
        <v>24600</v>
      </c>
      <c r="N22" s="4" t="s">
        <v>237</v>
      </c>
      <c r="O22" s="4"/>
    </row>
    <row r="24" spans="2:13" s="241" customFormat="1" ht="12.75">
      <c r="B24" s="235"/>
      <c r="F24" s="266"/>
      <c r="H24" s="235"/>
      <c r="K24" s="241" t="s">
        <v>84</v>
      </c>
      <c r="L24" s="242" t="s">
        <v>85</v>
      </c>
      <c r="M24" s="243">
        <f>SUM(M5:M22)</f>
        <v>1363400</v>
      </c>
    </row>
    <row r="25" spans="12:13" ht="12.75">
      <c r="L25" s="245" t="s">
        <v>86</v>
      </c>
      <c r="M25" s="246"/>
    </row>
    <row r="26" spans="12:13" ht="12.75">
      <c r="L26" s="247" t="s">
        <v>29</v>
      </c>
      <c r="M26" s="248">
        <f>SUMIF($L$5:$L$22,$L$26,M5:M22)</f>
        <v>463300</v>
      </c>
    </row>
    <row r="27" spans="12:13" ht="12.75">
      <c r="L27" s="249" t="s">
        <v>209</v>
      </c>
      <c r="M27" s="99">
        <f>_xlfn.SUMIFS($M$5:$M$22,$H$5:$H$22,"P",$L$5:$L$22,$L$26)</f>
        <v>358300</v>
      </c>
    </row>
    <row r="28" spans="12:13" ht="12.75">
      <c r="L28" s="249" t="s">
        <v>210</v>
      </c>
      <c r="M28" s="99">
        <f>_xlfn.SUMIFS($M$5:$M$22,$H$5:$H$22,"r",$L$5:$L$22,$L$26)</f>
        <v>105000</v>
      </c>
    </row>
    <row r="29" spans="12:17" ht="63.75">
      <c r="L29" s="247" t="s">
        <v>67</v>
      </c>
      <c r="M29" s="248">
        <f>SUMIF($L$5:$L$22,$L$29,M5:M22)</f>
        <v>889100</v>
      </c>
      <c r="N29" s="238" t="s">
        <v>314</v>
      </c>
      <c r="Q29" s="295"/>
    </row>
    <row r="30" spans="12:13" ht="12.75">
      <c r="L30" s="249" t="s">
        <v>209</v>
      </c>
      <c r="M30" s="99">
        <f>_xlfn.SUMIFS($M$5:$M$22,$H$5:$H$22,"P",$L$5:$L$22,$L$29)</f>
        <v>889100</v>
      </c>
    </row>
    <row r="31" spans="12:13" ht="12.75">
      <c r="L31" s="249" t="s">
        <v>210</v>
      </c>
      <c r="M31" s="99">
        <f>_xlfn.SUMIFS($M$5:$M$22,$H$5:$H$22,"r",$L$5:$L$22,$L$29)</f>
        <v>0</v>
      </c>
    </row>
    <row r="32" spans="12:13" ht="35.25" customHeight="1">
      <c r="L32" s="247" t="s">
        <v>36</v>
      </c>
      <c r="M32" s="248">
        <f>SUMIF($L$5:$L$22,$L$32,M5:M22)</f>
        <v>11000</v>
      </c>
    </row>
    <row r="33" spans="12:13" ht="12.75">
      <c r="L33" s="249" t="s">
        <v>209</v>
      </c>
      <c r="M33" s="99">
        <f>_xlfn.SUMIFS($M$5:$M$22,$H$5:$H$22,"P",$L$5:$L$22,$L$32)</f>
        <v>11000</v>
      </c>
    </row>
    <row r="34" spans="12:13" ht="12.75">
      <c r="L34" s="249" t="s">
        <v>210</v>
      </c>
      <c r="M34" s="99">
        <f>_xlfn.SUMIFS($M$5:$M$22,$H$5:$H$22,"r",$L$5:$L$22,$L$32)</f>
        <v>0</v>
      </c>
    </row>
    <row r="35" spans="1:13" s="40" customFormat="1" ht="12.75">
      <c r="A35" s="250"/>
      <c r="B35" s="251"/>
      <c r="C35" s="252"/>
      <c r="E35" s="253"/>
      <c r="F35" s="267"/>
      <c r="H35" s="251"/>
      <c r="L35" s="254" t="s">
        <v>86</v>
      </c>
      <c r="M35" s="255"/>
    </row>
    <row r="36" spans="1:13" s="30" customFormat="1" ht="12.75">
      <c r="A36" s="256"/>
      <c r="B36" s="66"/>
      <c r="E36" s="67"/>
      <c r="F36" s="268"/>
      <c r="H36" s="66"/>
      <c r="K36" s="117"/>
      <c r="L36" s="257" t="s">
        <v>255</v>
      </c>
      <c r="M36" s="99">
        <f>SUMIF($J$5:$J$22,"RB",M5:M22)</f>
        <v>1363400</v>
      </c>
    </row>
    <row r="37" spans="1:13" s="30" customFormat="1" ht="12.75" hidden="1">
      <c r="A37" s="256"/>
      <c r="B37" s="66"/>
      <c r="E37" s="67"/>
      <c r="F37" s="268"/>
      <c r="H37" s="66"/>
      <c r="K37" s="117"/>
      <c r="L37" s="257" t="s">
        <v>256</v>
      </c>
      <c r="M37" s="99">
        <f>SUMIF($J$5:$J$22,"UP",M5:M22)</f>
        <v>0</v>
      </c>
    </row>
    <row r="38" spans="1:13" s="102" customFormat="1" ht="12.75" hidden="1">
      <c r="A38" s="256"/>
      <c r="B38" s="66"/>
      <c r="E38" s="258"/>
      <c r="F38" s="269"/>
      <c r="H38" s="66"/>
      <c r="J38" s="30"/>
      <c r="K38" s="259"/>
      <c r="L38" s="257" t="s">
        <v>257</v>
      </c>
      <c r="M38" s="99">
        <f>SUMIF($J$5:$J$22,"U",M5:M22)</f>
        <v>0</v>
      </c>
    </row>
    <row r="39" spans="1:13" s="102" customFormat="1" ht="25.5" hidden="1">
      <c r="A39" s="256"/>
      <c r="B39" s="66"/>
      <c r="E39" s="258"/>
      <c r="F39" s="269"/>
      <c r="H39" s="66"/>
      <c r="J39" s="30"/>
      <c r="K39" s="259"/>
      <c r="L39" s="257" t="s">
        <v>258</v>
      </c>
      <c r="M39" s="99">
        <f>SUMIF($J$5:$J$22,"UZ",M5:M22)</f>
        <v>0</v>
      </c>
    </row>
    <row r="40" spans="12:13" ht="12.75" hidden="1">
      <c r="L40" s="245" t="s">
        <v>86</v>
      </c>
      <c r="M40" s="246"/>
    </row>
    <row r="41" spans="12:13" ht="12.75" hidden="1">
      <c r="L41" s="249" t="s">
        <v>209</v>
      </c>
      <c r="M41" s="99">
        <f>SUMIF($H$5:$H$22,"P",M5:M25)</f>
        <v>1258400</v>
      </c>
    </row>
    <row r="42" spans="12:13" ht="12.75" hidden="1">
      <c r="L42" s="249" t="s">
        <v>210</v>
      </c>
      <c r="M42" s="99">
        <f>SUMIF($H$5:$H$22,"R",M5:M22)</f>
        <v>105000</v>
      </c>
    </row>
    <row r="43" spans="9:15" ht="12.75">
      <c r="I43" s="262"/>
      <c r="J43" s="260"/>
      <c r="K43" s="260"/>
      <c r="L43" s="260"/>
      <c r="N43" s="260"/>
      <c r="O43" s="260"/>
    </row>
    <row r="44" spans="1:14" s="310" customFormat="1" ht="15">
      <c r="A44" s="310" t="s">
        <v>89</v>
      </c>
      <c r="B44" s="316"/>
      <c r="G44" s="311" t="s">
        <v>90</v>
      </c>
      <c r="I44" s="306" t="s">
        <v>91</v>
      </c>
      <c r="N44" s="306" t="s">
        <v>92</v>
      </c>
    </row>
    <row r="45" spans="2:14" s="310" customFormat="1" ht="15">
      <c r="B45" s="316"/>
      <c r="G45" s="311"/>
      <c r="I45" s="306"/>
      <c r="N45" s="306" t="s">
        <v>93</v>
      </c>
    </row>
    <row r="46" spans="1:14" s="312" customFormat="1" ht="15.75">
      <c r="A46" s="310" t="s">
        <v>94</v>
      </c>
      <c r="B46" s="316"/>
      <c r="C46" s="310"/>
      <c r="D46" s="310"/>
      <c r="E46" s="310"/>
      <c r="F46" s="310"/>
      <c r="G46" s="311" t="s">
        <v>94</v>
      </c>
      <c r="H46" s="313"/>
      <c r="I46" s="306" t="s">
        <v>94</v>
      </c>
      <c r="M46" s="314"/>
      <c r="N46" s="306" t="s">
        <v>94</v>
      </c>
    </row>
    <row r="47" spans="8:13" s="312" customFormat="1" ht="15.75">
      <c r="H47" s="315"/>
      <c r="M47" s="314"/>
    </row>
    <row r="48" spans="8:13" s="312" customFormat="1" ht="15.75">
      <c r="H48" s="315"/>
      <c r="M48" s="314"/>
    </row>
    <row r="49" spans="8:13" s="312" customFormat="1" ht="15.75">
      <c r="H49" s="315"/>
      <c r="M49" s="314"/>
    </row>
    <row r="50" spans="8:13" s="312" customFormat="1" ht="15.75">
      <c r="H50" s="315"/>
      <c r="M50" s="314"/>
    </row>
    <row r="51" spans="8:13" s="312" customFormat="1" ht="15.75">
      <c r="H51" s="315"/>
      <c r="M51" s="314"/>
    </row>
  </sheetData>
  <sheetProtection/>
  <autoFilter ref="A4:P22"/>
  <mergeCells count="1">
    <mergeCell ref="M3:M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78" r:id="rId1"/>
  <headerFooter>
    <oddHeader>&amp;C&amp;F</oddHeader>
    <oddFooter>&amp;CStrona &amp;P z &amp;N</oddFooter>
  </headerFooter>
  <rowBreaks count="1" manualBreakCount="1">
    <brk id="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80" zoomScaleSheetLayoutView="80" zoomScalePageLayoutView="0" workbookViewId="0" topLeftCell="A4">
      <selection activeCell="G13" sqref="G13:G14"/>
    </sheetView>
  </sheetViews>
  <sheetFormatPr defaultColWidth="4.3984375" defaultRowHeight="14.25"/>
  <cols>
    <col min="1" max="1" width="4.3984375" style="215" customWidth="1"/>
    <col min="2" max="2" width="6.8984375" style="156" hidden="1" customWidth="1"/>
    <col min="3" max="3" width="12.69921875" style="157" hidden="1" customWidth="1"/>
    <col min="4" max="4" width="17.3984375" style="157" customWidth="1"/>
    <col min="5" max="5" width="4.5" style="158" hidden="1" customWidth="1"/>
    <col min="6" max="6" width="19.8984375" style="157" customWidth="1"/>
    <col min="7" max="7" width="48.3984375" style="157" customWidth="1"/>
    <col min="8" max="8" width="9.59765625" style="156" customWidth="1"/>
    <col min="9" max="9" width="15.59765625" style="158" hidden="1" customWidth="1"/>
    <col min="10" max="10" width="12.69921875" style="157" customWidth="1"/>
    <col min="11" max="11" width="4.5" style="157" customWidth="1"/>
    <col min="12" max="12" width="15.09765625" style="157" hidden="1" customWidth="1"/>
    <col min="13" max="13" width="17" style="157" customWidth="1"/>
    <col min="14" max="14" width="18.8984375" style="159" bestFit="1" customWidth="1"/>
    <col min="15" max="17" width="18.09765625" style="159" hidden="1" customWidth="1"/>
    <col min="18" max="18" width="22.5" style="159" customWidth="1"/>
    <col min="19" max="19" width="19.5" style="157" customWidth="1"/>
    <col min="20" max="20" width="5.69921875" style="160" bestFit="1" customWidth="1"/>
    <col min="21" max="21" width="15.09765625" style="157" bestFit="1" customWidth="1"/>
    <col min="22" max="254" width="9" style="157" customWidth="1"/>
    <col min="255" max="16384" width="4.3984375" style="157" customWidth="1"/>
  </cols>
  <sheetData>
    <row r="1" ht="26.25">
      <c r="A1" s="297" t="s">
        <v>96</v>
      </c>
    </row>
    <row r="2" spans="1:20" s="360" customFormat="1" ht="90" customHeight="1">
      <c r="A2" s="161" t="s">
        <v>1</v>
      </c>
      <c r="B2" s="162" t="s">
        <v>2</v>
      </c>
      <c r="C2" s="354" t="s">
        <v>3</v>
      </c>
      <c r="D2" s="354" t="s">
        <v>4</v>
      </c>
      <c r="E2" s="162" t="s">
        <v>5</v>
      </c>
      <c r="F2" s="354" t="s">
        <v>6</v>
      </c>
      <c r="G2" s="354" t="s">
        <v>7</v>
      </c>
      <c r="H2" s="355" t="s">
        <v>218</v>
      </c>
      <c r="I2" s="356" t="s">
        <v>9</v>
      </c>
      <c r="J2" s="354" t="s">
        <v>10</v>
      </c>
      <c r="K2" s="354"/>
      <c r="L2" s="354" t="s">
        <v>11</v>
      </c>
      <c r="M2" s="354" t="s">
        <v>98</v>
      </c>
      <c r="N2" s="392" t="s">
        <v>290</v>
      </c>
      <c r="O2" s="392"/>
      <c r="P2" s="392"/>
      <c r="Q2" s="392"/>
      <c r="R2" s="357" t="s">
        <v>13</v>
      </c>
      <c r="S2" s="358" t="s">
        <v>14</v>
      </c>
      <c r="T2" s="359"/>
    </row>
    <row r="3" spans="1:19" ht="31.5" customHeight="1">
      <c r="A3" s="166"/>
      <c r="B3" s="167"/>
      <c r="C3" s="149"/>
      <c r="D3" s="149"/>
      <c r="E3" s="153"/>
      <c r="F3" s="149"/>
      <c r="G3" s="149"/>
      <c r="H3" s="168" t="s">
        <v>268</v>
      </c>
      <c r="I3" s="149"/>
      <c r="J3" s="149"/>
      <c r="K3" s="149"/>
      <c r="L3" s="149"/>
      <c r="M3" s="149"/>
      <c r="N3" s="386" t="s">
        <v>16</v>
      </c>
      <c r="O3" s="386" t="s">
        <v>17</v>
      </c>
      <c r="P3" s="386" t="s">
        <v>18</v>
      </c>
      <c r="Q3" s="388" t="s">
        <v>19</v>
      </c>
      <c r="R3" s="171"/>
      <c r="S3" s="3"/>
    </row>
    <row r="4" spans="1:20" s="178" customFormat="1" ht="28.5">
      <c r="A4" s="300"/>
      <c r="B4" s="301"/>
      <c r="C4" s="302"/>
      <c r="D4" s="302"/>
      <c r="E4" s="303"/>
      <c r="F4" s="302"/>
      <c r="G4" s="302"/>
      <c r="H4" s="304" t="s">
        <v>269</v>
      </c>
      <c r="I4" s="302"/>
      <c r="J4" s="302"/>
      <c r="K4" s="302"/>
      <c r="L4" s="305" t="s">
        <v>20</v>
      </c>
      <c r="M4" s="305"/>
      <c r="N4" s="387"/>
      <c r="O4" s="387"/>
      <c r="P4" s="387"/>
      <c r="Q4" s="389"/>
      <c r="R4" s="176"/>
      <c r="S4" s="177"/>
      <c r="T4" s="160"/>
    </row>
    <row r="5" spans="1:19" ht="30" customHeight="1" hidden="1">
      <c r="A5" s="179"/>
      <c r="B5" s="180"/>
      <c r="C5" s="151"/>
      <c r="D5" s="151"/>
      <c r="E5" s="154"/>
      <c r="F5" s="151"/>
      <c r="G5" s="151"/>
      <c r="H5" s="279" t="s">
        <v>270</v>
      </c>
      <c r="I5" s="154"/>
      <c r="J5" s="151"/>
      <c r="K5" s="151"/>
      <c r="L5" s="151"/>
      <c r="M5" s="151"/>
      <c r="N5" s="280" t="s">
        <v>22</v>
      </c>
      <c r="O5" s="280" t="s">
        <v>22</v>
      </c>
      <c r="P5" s="280" t="s">
        <v>22</v>
      </c>
      <c r="Q5" s="298" t="s">
        <v>22</v>
      </c>
      <c r="R5" s="299"/>
      <c r="S5" s="151"/>
    </row>
    <row r="6" spans="1:19" ht="39" customHeight="1">
      <c r="A6" s="182">
        <v>1</v>
      </c>
      <c r="B6" s="183"/>
      <c r="C6" s="3" t="s">
        <v>220</v>
      </c>
      <c r="D6" s="3" t="s">
        <v>26</v>
      </c>
      <c r="E6" s="155" t="s">
        <v>30</v>
      </c>
      <c r="F6" s="3" t="s">
        <v>33</v>
      </c>
      <c r="G6" s="3" t="s">
        <v>222</v>
      </c>
      <c r="H6" s="184" t="s">
        <v>264</v>
      </c>
      <c r="I6" s="155"/>
      <c r="J6" s="3" t="s">
        <v>27</v>
      </c>
      <c r="K6" s="3" t="s">
        <v>103</v>
      </c>
      <c r="L6" s="3" t="s">
        <v>76</v>
      </c>
      <c r="M6" s="3" t="s">
        <v>29</v>
      </c>
      <c r="N6" s="186">
        <v>33000</v>
      </c>
      <c r="O6" s="186"/>
      <c r="P6" s="186"/>
      <c r="Q6" s="170"/>
      <c r="R6" s="171"/>
      <c r="S6" s="3"/>
    </row>
    <row r="7" spans="1:19" ht="90">
      <c r="A7" s="182">
        <v>2</v>
      </c>
      <c r="B7" s="292"/>
      <c r="C7" s="283" t="s">
        <v>25</v>
      </c>
      <c r="D7" s="282" t="s">
        <v>112</v>
      </c>
      <c r="E7" s="285"/>
      <c r="F7" s="283" t="s">
        <v>101</v>
      </c>
      <c r="G7" s="283" t="s">
        <v>279</v>
      </c>
      <c r="H7" s="284" t="s">
        <v>265</v>
      </c>
      <c r="I7" s="285" t="s">
        <v>280</v>
      </c>
      <c r="J7" s="283" t="s">
        <v>27</v>
      </c>
      <c r="K7" s="4" t="s">
        <v>103</v>
      </c>
      <c r="L7" s="282" t="s">
        <v>44</v>
      </c>
      <c r="M7" s="282" t="s">
        <v>29</v>
      </c>
      <c r="N7" s="293">
        <v>80439</v>
      </c>
      <c r="O7" s="286"/>
      <c r="P7" s="286"/>
      <c r="Q7" s="287"/>
      <c r="R7" s="195" t="s">
        <v>282</v>
      </c>
      <c r="S7" s="282"/>
    </row>
    <row r="8" spans="1:19" ht="105">
      <c r="A8" s="182">
        <v>3</v>
      </c>
      <c r="B8" s="184" t="s">
        <v>107</v>
      </c>
      <c r="C8" s="3" t="s">
        <v>230</v>
      </c>
      <c r="D8" s="3" t="s">
        <v>83</v>
      </c>
      <c r="E8" s="155" t="s">
        <v>24</v>
      </c>
      <c r="F8" s="3" t="s">
        <v>106</v>
      </c>
      <c r="G8" s="3" t="s">
        <v>108</v>
      </c>
      <c r="H8" s="184" t="s">
        <v>265</v>
      </c>
      <c r="I8" s="185" t="s">
        <v>109</v>
      </c>
      <c r="J8" s="187" t="s">
        <v>102</v>
      </c>
      <c r="K8" s="3" t="s">
        <v>105</v>
      </c>
      <c r="L8" s="3" t="s">
        <v>73</v>
      </c>
      <c r="M8" s="3" t="s">
        <v>29</v>
      </c>
      <c r="N8" s="186">
        <v>32000</v>
      </c>
      <c r="O8" s="186"/>
      <c r="P8" s="186"/>
      <c r="Q8" s="170"/>
      <c r="R8" s="171"/>
      <c r="S8" s="3"/>
    </row>
    <row r="9" spans="1:19" ht="45">
      <c r="A9" s="376">
        <v>4</v>
      </c>
      <c r="B9" s="184" t="s">
        <v>107</v>
      </c>
      <c r="C9" s="3" t="s">
        <v>230</v>
      </c>
      <c r="D9" s="374" t="s">
        <v>83</v>
      </c>
      <c r="E9" s="155" t="s">
        <v>30</v>
      </c>
      <c r="F9" s="374" t="s">
        <v>106</v>
      </c>
      <c r="G9" s="3" t="s">
        <v>110</v>
      </c>
      <c r="H9" s="184" t="s">
        <v>265</v>
      </c>
      <c r="I9" s="155" t="s">
        <v>104</v>
      </c>
      <c r="J9" s="187" t="s">
        <v>102</v>
      </c>
      <c r="K9" s="3" t="s">
        <v>105</v>
      </c>
      <c r="L9" s="3" t="s">
        <v>76</v>
      </c>
      <c r="M9" s="3" t="s">
        <v>29</v>
      </c>
      <c r="N9" s="186">
        <v>7400</v>
      </c>
      <c r="O9" s="186"/>
      <c r="P9" s="186"/>
      <c r="Q9" s="170"/>
      <c r="R9" s="171"/>
      <c r="S9" s="3"/>
    </row>
    <row r="10" spans="1:19" ht="30">
      <c r="A10" s="377"/>
      <c r="B10" s="184" t="s">
        <v>107</v>
      </c>
      <c r="C10" s="3" t="s">
        <v>230</v>
      </c>
      <c r="D10" s="375"/>
      <c r="E10" s="155" t="s">
        <v>30</v>
      </c>
      <c r="F10" s="375"/>
      <c r="G10" s="3" t="s">
        <v>111</v>
      </c>
      <c r="H10" s="184" t="s">
        <v>265</v>
      </c>
      <c r="I10" s="155" t="s">
        <v>104</v>
      </c>
      <c r="J10" s="3" t="s">
        <v>27</v>
      </c>
      <c r="K10" s="3" t="s">
        <v>103</v>
      </c>
      <c r="L10" s="3" t="s">
        <v>76</v>
      </c>
      <c r="M10" s="3" t="s">
        <v>29</v>
      </c>
      <c r="N10" s="186">
        <v>110000</v>
      </c>
      <c r="O10" s="186"/>
      <c r="P10" s="186"/>
      <c r="Q10" s="170"/>
      <c r="R10" s="171"/>
      <c r="S10" s="3"/>
    </row>
    <row r="11" spans="1:19" ht="30">
      <c r="A11" s="182">
        <v>5</v>
      </c>
      <c r="B11" s="183"/>
      <c r="C11" s="3" t="s">
        <v>220</v>
      </c>
      <c r="D11" s="3" t="s">
        <v>83</v>
      </c>
      <c r="E11" s="155" t="s">
        <v>31</v>
      </c>
      <c r="F11" s="3" t="s">
        <v>33</v>
      </c>
      <c r="G11" s="3" t="s">
        <v>223</v>
      </c>
      <c r="H11" s="184" t="s">
        <v>264</v>
      </c>
      <c r="I11" s="155"/>
      <c r="J11" s="3" t="s">
        <v>27</v>
      </c>
      <c r="K11" s="3" t="s">
        <v>103</v>
      </c>
      <c r="L11" s="3" t="s">
        <v>76</v>
      </c>
      <c r="M11" s="3" t="s">
        <v>29</v>
      </c>
      <c r="N11" s="186">
        <v>66500</v>
      </c>
      <c r="O11" s="186"/>
      <c r="P11" s="186"/>
      <c r="Q11" s="170"/>
      <c r="R11" s="171"/>
      <c r="S11" s="3"/>
    </row>
    <row r="12" spans="1:19" s="194" customFormat="1" ht="120">
      <c r="A12" s="182">
        <v>6</v>
      </c>
      <c r="B12" s="191"/>
      <c r="C12" s="3" t="s">
        <v>262</v>
      </c>
      <c r="D12" s="190" t="s">
        <v>227</v>
      </c>
      <c r="E12" s="190"/>
      <c r="F12" s="190" t="s">
        <v>212</v>
      </c>
      <c r="G12" s="190" t="s">
        <v>226</v>
      </c>
      <c r="H12" s="192" t="s">
        <v>265</v>
      </c>
      <c r="I12" s="190"/>
      <c r="J12" s="190" t="s">
        <v>27</v>
      </c>
      <c r="K12" s="190" t="s">
        <v>103</v>
      </c>
      <c r="L12" s="190" t="s">
        <v>213</v>
      </c>
      <c r="M12" s="226" t="s">
        <v>29</v>
      </c>
      <c r="N12" s="227">
        <v>157440</v>
      </c>
      <c r="O12" s="193"/>
      <c r="P12" s="193"/>
      <c r="Q12" s="271"/>
      <c r="R12" s="171"/>
      <c r="S12" s="273"/>
    </row>
    <row r="13" spans="1:19" ht="74.25" customHeight="1">
      <c r="A13" s="376">
        <v>7</v>
      </c>
      <c r="B13" s="390"/>
      <c r="C13" s="383" t="s">
        <v>224</v>
      </c>
      <c r="D13" s="374" t="s">
        <v>115</v>
      </c>
      <c r="E13" s="383"/>
      <c r="F13" s="374" t="s">
        <v>217</v>
      </c>
      <c r="G13" s="374" t="s">
        <v>263</v>
      </c>
      <c r="H13" s="184" t="s">
        <v>265</v>
      </c>
      <c r="I13" s="155"/>
      <c r="J13" s="3" t="s">
        <v>102</v>
      </c>
      <c r="K13" s="3" t="s">
        <v>105</v>
      </c>
      <c r="L13" s="3"/>
      <c r="M13" s="3" t="s">
        <v>29</v>
      </c>
      <c r="N13" s="188">
        <v>4000</v>
      </c>
      <c r="O13" s="186"/>
      <c r="P13" s="186"/>
      <c r="Q13" s="170"/>
      <c r="R13" s="171"/>
      <c r="S13" s="3"/>
    </row>
    <row r="14" spans="1:19" ht="74.25" customHeight="1">
      <c r="A14" s="377"/>
      <c r="B14" s="391"/>
      <c r="C14" s="384"/>
      <c r="D14" s="375"/>
      <c r="E14" s="384"/>
      <c r="F14" s="375"/>
      <c r="G14" s="375"/>
      <c r="H14" s="184" t="s">
        <v>265</v>
      </c>
      <c r="I14" s="155"/>
      <c r="J14" s="3" t="s">
        <v>27</v>
      </c>
      <c r="K14" s="3" t="s">
        <v>103</v>
      </c>
      <c r="L14" s="3"/>
      <c r="M14" s="3" t="s">
        <v>29</v>
      </c>
      <c r="N14" s="188">
        <v>190000</v>
      </c>
      <c r="O14" s="186"/>
      <c r="P14" s="186"/>
      <c r="Q14" s="170"/>
      <c r="R14" s="171"/>
      <c r="S14" s="3"/>
    </row>
    <row r="15" spans="1:19" ht="30">
      <c r="A15" s="182">
        <v>8</v>
      </c>
      <c r="B15" s="183"/>
      <c r="C15" s="3" t="s">
        <v>220</v>
      </c>
      <c r="D15" s="3" t="s">
        <v>32</v>
      </c>
      <c r="E15" s="393" t="s">
        <v>31</v>
      </c>
      <c r="F15" s="3" t="s">
        <v>33</v>
      </c>
      <c r="G15" s="3" t="s">
        <v>223</v>
      </c>
      <c r="H15" s="184" t="s">
        <v>265</v>
      </c>
      <c r="I15" s="155"/>
      <c r="J15" s="3" t="s">
        <v>27</v>
      </c>
      <c r="K15" s="3" t="s">
        <v>103</v>
      </c>
      <c r="L15" s="3" t="s">
        <v>76</v>
      </c>
      <c r="M15" s="3" t="s">
        <v>29</v>
      </c>
      <c r="N15" s="186">
        <v>17300</v>
      </c>
      <c r="O15" s="186"/>
      <c r="P15" s="186"/>
      <c r="Q15" s="170"/>
      <c r="R15" s="171"/>
      <c r="S15" s="3"/>
    </row>
    <row r="16" spans="1:19" ht="45" customHeight="1">
      <c r="A16" s="376">
        <v>9</v>
      </c>
      <c r="B16" s="390" t="s">
        <v>116</v>
      </c>
      <c r="C16" s="374" t="s">
        <v>117</v>
      </c>
      <c r="D16" s="374" t="s">
        <v>118</v>
      </c>
      <c r="E16" s="383" t="s">
        <v>24</v>
      </c>
      <c r="F16" s="374" t="s">
        <v>119</v>
      </c>
      <c r="G16" s="374" t="s">
        <v>120</v>
      </c>
      <c r="H16" s="184" t="s">
        <v>264</v>
      </c>
      <c r="I16" s="155" t="s">
        <v>104</v>
      </c>
      <c r="J16" s="3" t="s">
        <v>102</v>
      </c>
      <c r="K16" s="3" t="s">
        <v>105</v>
      </c>
      <c r="L16" s="3" t="s">
        <v>76</v>
      </c>
      <c r="M16" s="3" t="s">
        <v>29</v>
      </c>
      <c r="N16" s="186">
        <v>1200</v>
      </c>
      <c r="O16" s="186"/>
      <c r="P16" s="186"/>
      <c r="Q16" s="170"/>
      <c r="R16" s="171"/>
      <c r="S16" s="3"/>
    </row>
    <row r="17" spans="1:19" ht="45" customHeight="1">
      <c r="A17" s="377"/>
      <c r="B17" s="391"/>
      <c r="C17" s="375"/>
      <c r="D17" s="375"/>
      <c r="E17" s="384"/>
      <c r="F17" s="375"/>
      <c r="G17" s="375"/>
      <c r="H17" s="184" t="s">
        <v>264</v>
      </c>
      <c r="I17" s="155" t="s">
        <v>104</v>
      </c>
      <c r="J17" s="3" t="s">
        <v>27</v>
      </c>
      <c r="K17" s="3" t="s">
        <v>103</v>
      </c>
      <c r="L17" s="3" t="s">
        <v>76</v>
      </c>
      <c r="M17" s="3" t="s">
        <v>29</v>
      </c>
      <c r="N17" s="186">
        <v>23400</v>
      </c>
      <c r="O17" s="186"/>
      <c r="P17" s="186"/>
      <c r="Q17" s="170"/>
      <c r="R17" s="171"/>
      <c r="S17" s="3"/>
    </row>
    <row r="18" spans="1:19" ht="30">
      <c r="A18" s="376">
        <v>10</v>
      </c>
      <c r="B18" s="390"/>
      <c r="C18" s="374" t="s">
        <v>225</v>
      </c>
      <c r="D18" s="396" t="s">
        <v>122</v>
      </c>
      <c r="E18" s="383"/>
      <c r="F18" s="374" t="s">
        <v>123</v>
      </c>
      <c r="G18" s="394" t="s">
        <v>309</v>
      </c>
      <c r="H18" s="184" t="s">
        <v>265</v>
      </c>
      <c r="I18" s="155"/>
      <c r="J18" s="187" t="s">
        <v>102</v>
      </c>
      <c r="K18" s="3" t="s">
        <v>105</v>
      </c>
      <c r="L18" s="3" t="s">
        <v>44</v>
      </c>
      <c r="M18" s="3" t="s">
        <v>29</v>
      </c>
      <c r="N18" s="188">
        <v>5000</v>
      </c>
      <c r="O18" s="186"/>
      <c r="P18" s="186"/>
      <c r="Q18" s="170"/>
      <c r="R18" s="380" t="s">
        <v>124</v>
      </c>
      <c r="S18" s="3"/>
    </row>
    <row r="19" spans="1:19" ht="30">
      <c r="A19" s="377"/>
      <c r="B19" s="391"/>
      <c r="C19" s="375"/>
      <c r="D19" s="397"/>
      <c r="E19" s="384"/>
      <c r="F19" s="375"/>
      <c r="G19" s="395"/>
      <c r="H19" s="184" t="s">
        <v>265</v>
      </c>
      <c r="I19" s="155"/>
      <c r="J19" s="3" t="s">
        <v>27</v>
      </c>
      <c r="K19" s="3" t="s">
        <v>103</v>
      </c>
      <c r="L19" s="3" t="s">
        <v>44</v>
      </c>
      <c r="M19" s="3" t="s">
        <v>29</v>
      </c>
      <c r="N19" s="188">
        <v>30000</v>
      </c>
      <c r="O19" s="186"/>
      <c r="P19" s="186"/>
      <c r="Q19" s="170"/>
      <c r="R19" s="381"/>
      <c r="S19" s="3"/>
    </row>
    <row r="20" spans="1:19" ht="45">
      <c r="A20" s="376">
        <v>11</v>
      </c>
      <c r="B20" s="390" t="s">
        <v>107</v>
      </c>
      <c r="C20" s="374" t="s">
        <v>230</v>
      </c>
      <c r="D20" s="374" t="s">
        <v>40</v>
      </c>
      <c r="E20" s="383" t="s">
        <v>30</v>
      </c>
      <c r="F20" s="374" t="s">
        <v>106</v>
      </c>
      <c r="G20" s="3" t="s">
        <v>125</v>
      </c>
      <c r="H20" s="184" t="s">
        <v>265</v>
      </c>
      <c r="I20" s="155" t="s">
        <v>126</v>
      </c>
      <c r="J20" s="187" t="s">
        <v>102</v>
      </c>
      <c r="K20" s="3" t="s">
        <v>105</v>
      </c>
      <c r="L20" s="3" t="s">
        <v>76</v>
      </c>
      <c r="M20" s="3" t="s">
        <v>29</v>
      </c>
      <c r="N20" s="186">
        <v>9800</v>
      </c>
      <c r="O20" s="186"/>
      <c r="P20" s="186"/>
      <c r="Q20" s="170"/>
      <c r="R20" s="171"/>
      <c r="S20" s="3"/>
    </row>
    <row r="21" spans="1:19" ht="30">
      <c r="A21" s="377"/>
      <c r="B21" s="391"/>
      <c r="C21" s="375"/>
      <c r="D21" s="375"/>
      <c r="E21" s="384"/>
      <c r="F21" s="375"/>
      <c r="G21" s="3" t="s">
        <v>127</v>
      </c>
      <c r="H21" s="184" t="s">
        <v>265</v>
      </c>
      <c r="I21" s="155" t="s">
        <v>128</v>
      </c>
      <c r="J21" s="3" t="s">
        <v>27</v>
      </c>
      <c r="K21" s="3" t="s">
        <v>103</v>
      </c>
      <c r="L21" s="3" t="s">
        <v>76</v>
      </c>
      <c r="M21" s="3" t="s">
        <v>29</v>
      </c>
      <c r="N21" s="186">
        <v>60300</v>
      </c>
      <c r="O21" s="186"/>
      <c r="P21" s="186"/>
      <c r="Q21" s="170"/>
      <c r="R21" s="171"/>
      <c r="S21" s="3"/>
    </row>
    <row r="22" spans="1:19" ht="60" customHeight="1">
      <c r="A22" s="274">
        <v>12</v>
      </c>
      <c r="B22" s="167"/>
      <c r="C22" s="153"/>
      <c r="D22" s="149" t="s">
        <v>40</v>
      </c>
      <c r="E22" s="383"/>
      <c r="F22" s="149" t="s">
        <v>101</v>
      </c>
      <c r="G22" s="3" t="s">
        <v>240</v>
      </c>
      <c r="H22" s="184" t="s">
        <v>265</v>
      </c>
      <c r="I22" s="155"/>
      <c r="J22" s="187" t="s">
        <v>102</v>
      </c>
      <c r="K22" s="3" t="s">
        <v>105</v>
      </c>
      <c r="L22" s="3" t="s">
        <v>76</v>
      </c>
      <c r="M22" s="3" t="s">
        <v>29</v>
      </c>
      <c r="N22" s="188">
        <v>43000</v>
      </c>
      <c r="O22" s="188"/>
      <c r="P22" s="186"/>
      <c r="Q22" s="170"/>
      <c r="R22" s="276" t="s">
        <v>241</v>
      </c>
      <c r="S22" s="3"/>
    </row>
    <row r="23" spans="1:19" ht="75">
      <c r="A23" s="182">
        <v>13</v>
      </c>
      <c r="B23" s="183"/>
      <c r="C23" s="3" t="s">
        <v>220</v>
      </c>
      <c r="D23" s="3" t="s">
        <v>129</v>
      </c>
      <c r="E23" s="155" t="s">
        <v>24</v>
      </c>
      <c r="F23" s="3" t="s">
        <v>33</v>
      </c>
      <c r="G23" s="3" t="s">
        <v>221</v>
      </c>
      <c r="H23" s="184" t="s">
        <v>265</v>
      </c>
      <c r="I23" s="155"/>
      <c r="J23" s="3" t="s">
        <v>27</v>
      </c>
      <c r="K23" s="3" t="s">
        <v>103</v>
      </c>
      <c r="L23" s="3" t="s">
        <v>76</v>
      </c>
      <c r="M23" s="3" t="s">
        <v>29</v>
      </c>
      <c r="N23" s="186">
        <v>14000</v>
      </c>
      <c r="O23" s="186"/>
      <c r="P23" s="186"/>
      <c r="Q23" s="170"/>
      <c r="R23" s="171"/>
      <c r="S23" s="3"/>
    </row>
    <row r="24" spans="1:19" ht="45">
      <c r="A24" s="182">
        <v>14</v>
      </c>
      <c r="B24" s="183"/>
      <c r="C24" s="3" t="s">
        <v>101</v>
      </c>
      <c r="D24" s="3" t="s">
        <v>131</v>
      </c>
      <c r="E24" s="155"/>
      <c r="F24" s="3" t="s">
        <v>101</v>
      </c>
      <c r="G24" s="3" t="s">
        <v>134</v>
      </c>
      <c r="H24" s="184" t="s">
        <v>264</v>
      </c>
      <c r="I24" s="155" t="s">
        <v>135</v>
      </c>
      <c r="J24" s="3" t="s">
        <v>27</v>
      </c>
      <c r="K24" s="3" t="s">
        <v>103</v>
      </c>
      <c r="L24" s="3" t="s">
        <v>28</v>
      </c>
      <c r="M24" s="3" t="s">
        <v>29</v>
      </c>
      <c r="N24" s="186">
        <v>18500</v>
      </c>
      <c r="O24" s="186"/>
      <c r="P24" s="186"/>
      <c r="Q24" s="170"/>
      <c r="R24" s="171"/>
      <c r="S24" s="3"/>
    </row>
    <row r="25" spans="1:19" ht="45">
      <c r="A25" s="182">
        <v>15</v>
      </c>
      <c r="B25" s="183"/>
      <c r="C25" s="3" t="s">
        <v>101</v>
      </c>
      <c r="D25" s="3" t="s">
        <v>53</v>
      </c>
      <c r="E25" s="155"/>
      <c r="F25" s="3" t="s">
        <v>101</v>
      </c>
      <c r="G25" s="3" t="s">
        <v>136</v>
      </c>
      <c r="H25" s="184" t="s">
        <v>265</v>
      </c>
      <c r="I25" s="155" t="s">
        <v>137</v>
      </c>
      <c r="J25" s="3" t="s">
        <v>27</v>
      </c>
      <c r="K25" s="3" t="s">
        <v>103</v>
      </c>
      <c r="L25" s="3" t="s">
        <v>28</v>
      </c>
      <c r="M25" s="187" t="s">
        <v>36</v>
      </c>
      <c r="N25" s="188">
        <v>271000</v>
      </c>
      <c r="O25" s="186"/>
      <c r="P25" s="186"/>
      <c r="Q25" s="170"/>
      <c r="R25" s="171"/>
      <c r="S25" s="3"/>
    </row>
    <row r="26" spans="1:20" s="197" customFormat="1" ht="63.75" customHeight="1">
      <c r="A26" s="376">
        <v>16</v>
      </c>
      <c r="B26" s="167"/>
      <c r="C26" s="149" t="s">
        <v>247</v>
      </c>
      <c r="D26" s="383" t="s">
        <v>49</v>
      </c>
      <c r="E26" s="383"/>
      <c r="F26" s="374" t="s">
        <v>246</v>
      </c>
      <c r="G26" s="3" t="s">
        <v>302</v>
      </c>
      <c r="H26" s="184" t="s">
        <v>265</v>
      </c>
      <c r="I26" s="155"/>
      <c r="J26" s="3" t="s">
        <v>102</v>
      </c>
      <c r="K26" s="3" t="s">
        <v>105</v>
      </c>
      <c r="L26" s="3" t="s">
        <v>76</v>
      </c>
      <c r="M26" s="3" t="s">
        <v>29</v>
      </c>
      <c r="N26" s="186">
        <v>20000</v>
      </c>
      <c r="O26" s="186"/>
      <c r="P26" s="186"/>
      <c r="Q26" s="170"/>
      <c r="R26" s="380" t="s">
        <v>304</v>
      </c>
      <c r="S26" s="3"/>
      <c r="T26" s="196"/>
    </row>
    <row r="27" spans="1:20" s="197" customFormat="1" ht="30">
      <c r="A27" s="377"/>
      <c r="B27" s="167"/>
      <c r="C27" s="149"/>
      <c r="D27" s="384"/>
      <c r="E27" s="383"/>
      <c r="F27" s="375"/>
      <c r="G27" s="3" t="s">
        <v>303</v>
      </c>
      <c r="H27" s="184" t="s">
        <v>265</v>
      </c>
      <c r="I27" s="155"/>
      <c r="J27" s="3" t="s">
        <v>27</v>
      </c>
      <c r="K27" s="3" t="s">
        <v>103</v>
      </c>
      <c r="L27" s="3"/>
      <c r="M27" s="3" t="s">
        <v>29</v>
      </c>
      <c r="N27" s="186">
        <v>390000</v>
      </c>
      <c r="O27" s="186"/>
      <c r="P27" s="186"/>
      <c r="Q27" s="170"/>
      <c r="R27" s="381"/>
      <c r="S27" s="3"/>
      <c r="T27" s="196"/>
    </row>
    <row r="28" spans="1:20" s="197" customFormat="1" ht="76.5" customHeight="1">
      <c r="A28" s="363">
        <v>17</v>
      </c>
      <c r="B28" s="167"/>
      <c r="C28" s="149"/>
      <c r="D28" s="362" t="s">
        <v>307</v>
      </c>
      <c r="E28" s="383"/>
      <c r="F28" s="151" t="s">
        <v>33</v>
      </c>
      <c r="G28" s="3" t="s">
        <v>308</v>
      </c>
      <c r="H28" s="184" t="s">
        <v>265</v>
      </c>
      <c r="I28" s="155"/>
      <c r="J28" s="3" t="s">
        <v>102</v>
      </c>
      <c r="K28" s="3" t="s">
        <v>105</v>
      </c>
      <c r="L28" s="3" t="s">
        <v>76</v>
      </c>
      <c r="M28" s="3" t="s">
        <v>29</v>
      </c>
      <c r="N28" s="186">
        <v>40000</v>
      </c>
      <c r="O28" s="186"/>
      <c r="P28" s="186"/>
      <c r="Q28" s="170"/>
      <c r="R28" s="171"/>
      <c r="S28" s="3"/>
      <c r="T28" s="196"/>
    </row>
    <row r="29" spans="1:20" s="197" customFormat="1" ht="90">
      <c r="A29" s="376">
        <v>18</v>
      </c>
      <c r="B29" s="390"/>
      <c r="C29" s="383"/>
      <c r="D29" s="374" t="s">
        <v>228</v>
      </c>
      <c r="E29" s="393"/>
      <c r="F29" s="3" t="s">
        <v>238</v>
      </c>
      <c r="G29" s="187" t="s">
        <v>142</v>
      </c>
      <c r="H29" s="184" t="s">
        <v>265</v>
      </c>
      <c r="I29" s="155" t="s">
        <v>143</v>
      </c>
      <c r="J29" s="3" t="s">
        <v>59</v>
      </c>
      <c r="K29" s="3" t="s">
        <v>114</v>
      </c>
      <c r="L29" s="3" t="s">
        <v>50</v>
      </c>
      <c r="M29" s="187" t="s">
        <v>29</v>
      </c>
      <c r="N29" s="188">
        <v>9140</v>
      </c>
      <c r="O29" s="186"/>
      <c r="P29" s="186"/>
      <c r="Q29" s="170"/>
      <c r="R29" s="195" t="s">
        <v>281</v>
      </c>
      <c r="S29" s="3"/>
      <c r="T29" s="196"/>
    </row>
    <row r="30" spans="1:20" s="197" customFormat="1" ht="45">
      <c r="A30" s="404"/>
      <c r="B30" s="405"/>
      <c r="C30" s="406"/>
      <c r="D30" s="385"/>
      <c r="E30" s="393"/>
      <c r="F30" s="3"/>
      <c r="G30" s="187" t="s">
        <v>216</v>
      </c>
      <c r="H30" s="184" t="s">
        <v>265</v>
      </c>
      <c r="I30" s="155"/>
      <c r="J30" s="3" t="s">
        <v>138</v>
      </c>
      <c r="K30" s="3" t="s">
        <v>105</v>
      </c>
      <c r="L30" s="3" t="s">
        <v>50</v>
      </c>
      <c r="M30" s="187" t="s">
        <v>29</v>
      </c>
      <c r="N30" s="188">
        <v>75000</v>
      </c>
      <c r="O30" s="186"/>
      <c r="P30" s="186"/>
      <c r="Q30" s="170"/>
      <c r="R30" s="171" t="s">
        <v>145</v>
      </c>
      <c r="S30" s="3"/>
      <c r="T30" s="196"/>
    </row>
    <row r="31" spans="1:20" s="197" customFormat="1" ht="90">
      <c r="A31" s="274">
        <v>19</v>
      </c>
      <c r="B31" s="167"/>
      <c r="C31" s="153"/>
      <c r="D31" s="149" t="s">
        <v>229</v>
      </c>
      <c r="E31" s="155"/>
      <c r="F31" s="3" t="s">
        <v>238</v>
      </c>
      <c r="G31" s="187" t="s">
        <v>144</v>
      </c>
      <c r="H31" s="184" t="s">
        <v>265</v>
      </c>
      <c r="I31" s="155" t="s">
        <v>143</v>
      </c>
      <c r="J31" s="3" t="s">
        <v>59</v>
      </c>
      <c r="K31" s="3" t="s">
        <v>114</v>
      </c>
      <c r="L31" s="3" t="s">
        <v>50</v>
      </c>
      <c r="M31" s="187" t="s">
        <v>29</v>
      </c>
      <c r="N31" s="188">
        <v>9140</v>
      </c>
      <c r="O31" s="186"/>
      <c r="P31" s="186"/>
      <c r="Q31" s="170"/>
      <c r="R31" s="195" t="s">
        <v>281</v>
      </c>
      <c r="S31" s="3" t="s">
        <v>266</v>
      </c>
      <c r="T31" s="196"/>
    </row>
    <row r="32" spans="1:19" s="200" customFormat="1" ht="53.25" customHeight="1">
      <c r="A32" s="376">
        <v>20</v>
      </c>
      <c r="B32" s="378"/>
      <c r="C32" s="378"/>
      <c r="D32" s="398" t="s">
        <v>219</v>
      </c>
      <c r="E32" s="198"/>
      <c r="F32" s="402"/>
      <c r="G32" s="400" t="s">
        <v>317</v>
      </c>
      <c r="H32" s="184" t="s">
        <v>265</v>
      </c>
      <c r="I32" s="198" t="s">
        <v>82</v>
      </c>
      <c r="J32" s="198" t="s">
        <v>102</v>
      </c>
      <c r="K32" s="198" t="s">
        <v>105</v>
      </c>
      <c r="L32" s="198" t="s">
        <v>50</v>
      </c>
      <c r="M32" s="187" t="s">
        <v>29</v>
      </c>
      <c r="N32" s="228">
        <v>45000</v>
      </c>
      <c r="O32" s="199"/>
      <c r="P32" s="199"/>
      <c r="Q32" s="272"/>
      <c r="R32" s="171"/>
      <c r="S32" s="198"/>
    </row>
    <row r="33" spans="1:19" s="200" customFormat="1" ht="156" customHeight="1">
      <c r="A33" s="377"/>
      <c r="B33" s="379"/>
      <c r="C33" s="379"/>
      <c r="D33" s="399"/>
      <c r="E33" s="198"/>
      <c r="F33" s="403"/>
      <c r="G33" s="401"/>
      <c r="H33" s="184" t="s">
        <v>265</v>
      </c>
      <c r="I33" s="198" t="s">
        <v>82</v>
      </c>
      <c r="J33" s="198" t="s">
        <v>27</v>
      </c>
      <c r="K33" s="198" t="s">
        <v>103</v>
      </c>
      <c r="L33" s="198" t="s">
        <v>50</v>
      </c>
      <c r="M33" s="187" t="s">
        <v>29</v>
      </c>
      <c r="N33" s="228">
        <v>100000</v>
      </c>
      <c r="O33" s="228">
        <v>900000</v>
      </c>
      <c r="P33" s="199"/>
      <c r="Q33" s="272"/>
      <c r="R33" s="171"/>
      <c r="S33" s="3" t="s">
        <v>289</v>
      </c>
    </row>
    <row r="34" spans="1:20" s="203" customFormat="1" ht="15.75">
      <c r="A34" s="201"/>
      <c r="B34" s="202"/>
      <c r="C34" s="33"/>
      <c r="E34" s="407"/>
      <c r="H34" s="202"/>
      <c r="I34" s="204"/>
      <c r="L34" s="205" t="s">
        <v>84</v>
      </c>
      <c r="M34" s="183" t="s">
        <v>85</v>
      </c>
      <c r="N34" s="206">
        <f>SUM(N6:N33)</f>
        <v>1862559</v>
      </c>
      <c r="O34" s="206">
        <f>SUM(O6:O33)</f>
        <v>900000</v>
      </c>
      <c r="P34" s="206">
        <f>SUM(P6:P33)</f>
        <v>0</v>
      </c>
      <c r="Q34" s="206">
        <f>SUM(Q6:Q33)</f>
        <v>0</v>
      </c>
      <c r="R34" s="206"/>
      <c r="S34" s="205"/>
      <c r="T34" s="207"/>
    </row>
    <row r="35" spans="1:20" s="210" customFormat="1" ht="15.75">
      <c r="A35" s="208"/>
      <c r="B35" s="209"/>
      <c r="C35" s="36"/>
      <c r="E35" s="408"/>
      <c r="H35" s="209"/>
      <c r="I35" s="211"/>
      <c r="M35" s="212" t="s">
        <v>86</v>
      </c>
      <c r="N35" s="213"/>
      <c r="O35" s="213"/>
      <c r="P35" s="213"/>
      <c r="Q35" s="213"/>
      <c r="R35" s="213"/>
      <c r="S35" s="212"/>
      <c r="T35" s="214"/>
    </row>
    <row r="36" spans="5:19" ht="30">
      <c r="E36" s="382"/>
      <c r="M36" s="3" t="s">
        <v>29</v>
      </c>
      <c r="N36" s="186">
        <f>SUMIF($M$6:$M$33,M36,$N$6:$N$33)</f>
        <v>1591559</v>
      </c>
      <c r="O36" s="186">
        <f>SUMIF($M$6:$M$33,M36,$O$6:$O$33)</f>
        <v>900000</v>
      </c>
      <c r="P36" s="186">
        <f>SUMIF($M$6:$M$33,M36,$P$6:$P$33)</f>
        <v>0</v>
      </c>
      <c r="Q36" s="186">
        <f>SUMIF($M$6:$M$33,M36,$Q$6:$Q$33)</f>
        <v>0</v>
      </c>
      <c r="R36" s="186"/>
      <c r="S36" s="3"/>
    </row>
    <row r="37" spans="2:17" s="200" customFormat="1" ht="15">
      <c r="B37" s="216"/>
      <c r="E37" s="373"/>
      <c r="F37" s="217"/>
      <c r="H37" s="218"/>
      <c r="M37" s="219" t="s">
        <v>209</v>
      </c>
      <c r="N37" s="294">
        <f>_xlfn.SUMIFS($N$6:$N$33,$H$6:$H$33,"P",$M$6:$M$33,$M$36)</f>
        <v>1448959</v>
      </c>
      <c r="O37" s="220"/>
      <c r="P37" s="220"/>
      <c r="Q37" s="220"/>
    </row>
    <row r="38" spans="2:17" s="200" customFormat="1" ht="15">
      <c r="B38" s="216"/>
      <c r="E38" s="373"/>
      <c r="F38" s="217"/>
      <c r="G38" s="277"/>
      <c r="H38" s="218"/>
      <c r="J38" s="277"/>
      <c r="M38" s="219" t="s">
        <v>210</v>
      </c>
      <c r="N38" s="294">
        <f>_xlfn.SUMIFS($N$6:$N$33,$H$6:$H$33,"R",$M$6:$M$33,$M$36)</f>
        <v>142600</v>
      </c>
      <c r="O38" s="220"/>
      <c r="P38" s="220"/>
      <c r="Q38" s="220"/>
    </row>
    <row r="39" spans="5:19" ht="32.25" customHeight="1" hidden="1">
      <c r="E39" s="382"/>
      <c r="M39" s="3" t="s">
        <v>259</v>
      </c>
      <c r="N39" s="186">
        <f>SUMIF($M$6:$M$33,M39,$N$6:$N$33)</f>
        <v>0</v>
      </c>
      <c r="O39" s="186">
        <f>SUMIF($M$6:$M$33,M39,$O$6:$O$33)</f>
        <v>0</v>
      </c>
      <c r="P39" s="186">
        <f>SUMIF($M$6:$M$33,M39,$P$6:$P$33)</f>
        <v>0</v>
      </c>
      <c r="Q39" s="186">
        <f>SUMIF($M$6:$M$33,M39,$Q$6:$Q$33)</f>
        <v>0</v>
      </c>
      <c r="R39" s="186"/>
      <c r="S39" s="3"/>
    </row>
    <row r="40" spans="2:17" s="200" customFormat="1" ht="15" hidden="1">
      <c r="B40" s="216"/>
      <c r="F40" s="217"/>
      <c r="H40" s="218"/>
      <c r="M40" s="219" t="s">
        <v>209</v>
      </c>
      <c r="N40" s="294">
        <f>_xlfn.SUMIFS($N$6:$N$33,$H$6:$H$33,"P",$M$6:$M$33,$M$39)</f>
        <v>0</v>
      </c>
      <c r="O40" s="220"/>
      <c r="P40" s="220"/>
      <c r="Q40" s="220"/>
    </row>
    <row r="41" spans="2:17" s="200" customFormat="1" ht="15" hidden="1">
      <c r="B41" s="216"/>
      <c r="E41" s="373"/>
      <c r="F41" s="217"/>
      <c r="H41" s="218"/>
      <c r="M41" s="219" t="s">
        <v>210</v>
      </c>
      <c r="N41" s="294">
        <f>_xlfn.SUMIFS($N$6:$N$33,$H$6:$H$33,"R",$M$6:$M$33,$M$39)</f>
        <v>0</v>
      </c>
      <c r="O41" s="220"/>
      <c r="P41" s="220"/>
      <c r="Q41" s="220"/>
    </row>
    <row r="42" spans="5:19" ht="32.25" customHeight="1" hidden="1">
      <c r="E42" s="382"/>
      <c r="M42" s="3" t="s">
        <v>260</v>
      </c>
      <c r="N42" s="186">
        <f>SUMIF($M$6:$M$33,M42,$N$6:$N$33)</f>
        <v>0</v>
      </c>
      <c r="O42" s="186">
        <f>SUMIF($M$6:$M$33,M42,$O$6:$O$33)</f>
        <v>0</v>
      </c>
      <c r="P42" s="186">
        <f>SUMIF($M$6:$M$33,M42,$P$6:$P$33)</f>
        <v>0</v>
      </c>
      <c r="Q42" s="186">
        <f>SUMIF($M$6:$M$33,M42,$Q$6:$Q$33)</f>
        <v>0</v>
      </c>
      <c r="R42" s="186"/>
      <c r="S42" s="3"/>
    </row>
    <row r="43" spans="2:17" s="200" customFormat="1" ht="15" hidden="1">
      <c r="B43" s="216"/>
      <c r="E43" s="373"/>
      <c r="F43" s="217"/>
      <c r="H43" s="218"/>
      <c r="M43" s="219" t="s">
        <v>209</v>
      </c>
      <c r="N43" s="294">
        <f>_xlfn.SUMIFS($N$6:$N$33,$H$6:$H$33,"P",$M$6:$M$33,$M$42)</f>
        <v>0</v>
      </c>
      <c r="O43" s="220"/>
      <c r="P43" s="220"/>
      <c r="Q43" s="220"/>
    </row>
    <row r="44" spans="2:17" s="200" customFormat="1" ht="15" hidden="1">
      <c r="B44" s="216"/>
      <c r="E44" s="373"/>
      <c r="F44" s="217"/>
      <c r="H44" s="218"/>
      <c r="M44" s="219" t="s">
        <v>210</v>
      </c>
      <c r="N44" s="294">
        <f>_xlfn.SUMIFS($N$6:$N$33,$H$6:$H$33,"R",$M$6:$M$33,$M$42)</f>
        <v>0</v>
      </c>
      <c r="O44" s="220"/>
      <c r="P44" s="220"/>
      <c r="Q44" s="220"/>
    </row>
    <row r="45" spans="13:19" ht="30" hidden="1">
      <c r="M45" s="3" t="s">
        <v>132</v>
      </c>
      <c r="N45" s="186">
        <f>SUMIF($M$6:$M$33,M45,$N$6:$N$33)</f>
        <v>0</v>
      </c>
      <c r="O45" s="186">
        <f>SUMIF($M$6:$M$33,M45,$O$6:$O$33)</f>
        <v>0</v>
      </c>
      <c r="P45" s="186">
        <f>SUMIF($M$6:$M$33,M45,$P$6:$P$33)</f>
        <v>0</v>
      </c>
      <c r="Q45" s="186">
        <f>SUMIF($M$6:$M$33,M45,$Q$6:$Q$33)</f>
        <v>0</v>
      </c>
      <c r="R45" s="186"/>
      <c r="S45" s="3"/>
    </row>
    <row r="46" spans="2:17" s="200" customFormat="1" ht="15" hidden="1">
      <c r="B46" s="216"/>
      <c r="F46" s="217"/>
      <c r="H46" s="218"/>
      <c r="M46" s="219" t="s">
        <v>209</v>
      </c>
      <c r="N46" s="294">
        <f>_xlfn.SUMIFS($N$6:$N$33,$H$6:$H$33,"P",$M$6:$M$33,$M$45)</f>
        <v>0</v>
      </c>
      <c r="O46" s="220"/>
      <c r="P46" s="220"/>
      <c r="Q46" s="220"/>
    </row>
    <row r="47" spans="2:17" s="200" customFormat="1" ht="15" hidden="1">
      <c r="B47" s="216"/>
      <c r="F47" s="217"/>
      <c r="H47" s="218"/>
      <c r="M47" s="219" t="s">
        <v>210</v>
      </c>
      <c r="N47" s="294">
        <f>_xlfn.SUMIFS($N$6:$N$33,$H$6:$H$33,"R",$M$6:$M$33,$M$45)</f>
        <v>0</v>
      </c>
      <c r="O47" s="220"/>
      <c r="P47" s="220"/>
      <c r="Q47" s="220"/>
    </row>
    <row r="48" spans="13:19" ht="60" hidden="1">
      <c r="M48" s="3" t="s">
        <v>146</v>
      </c>
      <c r="N48" s="186">
        <f>SUMIF($M$6:$M$33,M48,$N$6:$N$33)</f>
        <v>0</v>
      </c>
      <c r="O48" s="186">
        <f>SUMIF($M$6:$M$33,M48,$O$6:$O$33)</f>
        <v>0</v>
      </c>
      <c r="P48" s="186">
        <f>SUMIF($M$6:$M$33,M48,$P$6:$P$33)</f>
        <v>0</v>
      </c>
      <c r="Q48" s="186">
        <f>SUMIF($M$6:$M$33,M48,$Q$6:$Q$33)</f>
        <v>0</v>
      </c>
      <c r="R48" s="186"/>
      <c r="S48" s="3"/>
    </row>
    <row r="49" spans="2:17" s="200" customFormat="1" ht="15" hidden="1">
      <c r="B49" s="216"/>
      <c r="F49" s="217"/>
      <c r="H49" s="218"/>
      <c r="M49" s="219" t="s">
        <v>209</v>
      </c>
      <c r="N49" s="294">
        <f>_xlfn.SUMIFS($N$6:$N$33,$H$6:$H$33,"P",$M$6:$M$33,$M$48)</f>
        <v>0</v>
      </c>
      <c r="O49" s="220"/>
      <c r="P49" s="220"/>
      <c r="Q49" s="220"/>
    </row>
    <row r="50" spans="2:17" s="200" customFormat="1" ht="15" hidden="1">
      <c r="B50" s="216"/>
      <c r="F50" s="217"/>
      <c r="H50" s="218"/>
      <c r="M50" s="219" t="s">
        <v>210</v>
      </c>
      <c r="N50" s="294">
        <f>_xlfn.SUMIFS($N$6:$N$33,$H$6:$H$33,"R",$M$6:$M$33,$M$48)</f>
        <v>0</v>
      </c>
      <c r="O50" s="220"/>
      <c r="P50" s="220"/>
      <c r="Q50" s="220"/>
    </row>
    <row r="51" spans="13:19" ht="45">
      <c r="M51" s="3" t="s">
        <v>36</v>
      </c>
      <c r="N51" s="186">
        <f>SUMIF($M$6:$M$33,M51,$N$6:$N$33)</f>
        <v>271000</v>
      </c>
      <c r="O51" s="186">
        <f>SUMIF($M$6:$M$33,M51,$O$6:$O$33)</f>
        <v>0</v>
      </c>
      <c r="P51" s="186">
        <f>SUMIF($M$6:$M$33,M51,$P$6:$P$33)</f>
        <v>0</v>
      </c>
      <c r="Q51" s="186">
        <f>SUMIF($M$6:$M$33,M51,$Q$6:$Q$33)</f>
        <v>0</v>
      </c>
      <c r="R51" s="186"/>
      <c r="S51" s="3"/>
    </row>
    <row r="52" spans="2:17" s="200" customFormat="1" ht="15">
      <c r="B52" s="216"/>
      <c r="F52" s="217"/>
      <c r="H52" s="218"/>
      <c r="M52" s="219" t="s">
        <v>209</v>
      </c>
      <c r="N52" s="294">
        <f>_xlfn.SUMIFS($N$6:$N$33,$H$6:$H$33,"P",$M$6:$M$33,$M$51)</f>
        <v>271000</v>
      </c>
      <c r="O52" s="220"/>
      <c r="P52" s="220"/>
      <c r="Q52" s="220"/>
    </row>
    <row r="53" spans="2:17" s="200" customFormat="1" ht="15">
      <c r="B53" s="216"/>
      <c r="F53" s="217"/>
      <c r="H53" s="218"/>
      <c r="M53" s="219" t="s">
        <v>210</v>
      </c>
      <c r="N53" s="294">
        <f>_xlfn.SUMIFS($N$6:$N$33,$H$6:$H$33,"R",$M$6:$M$33,$M$51)</f>
        <v>0</v>
      </c>
      <c r="O53" s="220"/>
      <c r="P53" s="220"/>
      <c r="Q53" s="220"/>
    </row>
    <row r="54" spans="1:20" s="210" customFormat="1" ht="15.75">
      <c r="A54" s="208"/>
      <c r="B54" s="209"/>
      <c r="C54" s="36"/>
      <c r="E54" s="209"/>
      <c r="H54" s="209"/>
      <c r="I54" s="211"/>
      <c r="M54" s="212" t="s">
        <v>86</v>
      </c>
      <c r="N54" s="213"/>
      <c r="O54" s="213"/>
      <c r="P54" s="213"/>
      <c r="Q54" s="213"/>
      <c r="R54" s="213"/>
      <c r="S54" s="212"/>
      <c r="T54" s="214"/>
    </row>
    <row r="55" spans="12:19" ht="31.5">
      <c r="L55" s="197"/>
      <c r="M55" s="3" t="s">
        <v>231</v>
      </c>
      <c r="N55" s="186">
        <f>SUMIF($K$3:$K$33,"RB",$N$3:$N$33)</f>
        <v>1561879</v>
      </c>
      <c r="O55" s="186">
        <f>SUMIF($K$3:$K$33,"RB",$O$3:$O$33)</f>
        <v>900000</v>
      </c>
      <c r="P55" s="186">
        <f>SUMIF($K$3:$K$33,"RB",$P$3:$P$33)</f>
        <v>0</v>
      </c>
      <c r="Q55" s="186">
        <f>SUMIF($K$3:$K$33,"RB",$Q$3:$Q$33)</f>
        <v>0</v>
      </c>
      <c r="R55" s="186"/>
      <c r="S55" s="3"/>
    </row>
    <row r="56" spans="12:19" ht="15.75">
      <c r="L56" s="197"/>
      <c r="M56" s="3" t="s">
        <v>232</v>
      </c>
      <c r="N56" s="186">
        <f>SUMIF($K$3:$K$33,"up",$N$3:$N$33)</f>
        <v>282400</v>
      </c>
      <c r="O56" s="186">
        <f>SUMIF($K$3:$K$33,"up",$O$3:$O$33)</f>
        <v>0</v>
      </c>
      <c r="P56" s="186">
        <f>SUMIF($K$3:$K$33,"UP",$P$3:$P$33)</f>
        <v>0</v>
      </c>
      <c r="Q56" s="186">
        <f>SUMIF($K$3:$K$33,"up",$Q$3:$Q$33)</f>
        <v>0</v>
      </c>
      <c r="R56" s="186"/>
      <c r="S56" s="3"/>
    </row>
    <row r="57" spans="6:21" ht="15.75">
      <c r="F57" s="197"/>
      <c r="L57" s="197"/>
      <c r="M57" s="3" t="s">
        <v>233</v>
      </c>
      <c r="N57" s="186">
        <f>SUMIF($K$3:$K$33,"u",$N$3:$N$33)</f>
        <v>18280</v>
      </c>
      <c r="O57" s="186">
        <f>SUMIF($K$3:$K$33,"u",$O$3:$O$33)</f>
        <v>0</v>
      </c>
      <c r="P57" s="186">
        <f>SUMIF($K$3:$K$33,"U",$P$3:$P$33)</f>
        <v>0</v>
      </c>
      <c r="Q57" s="186">
        <f>SUMIF($K$3:$K$33,"u",$Q$3:$Q$33)</f>
        <v>0</v>
      </c>
      <c r="R57" s="186"/>
      <c r="S57" s="3"/>
      <c r="T57" s="159"/>
      <c r="U57" s="370"/>
    </row>
    <row r="58" spans="6:20" ht="30.75" hidden="1">
      <c r="F58" s="197"/>
      <c r="L58" s="197"/>
      <c r="M58" s="3" t="s">
        <v>234</v>
      </c>
      <c r="N58" s="186">
        <f>SUMIF($K$3:$K$33,"uz",$N$3:$N$33)</f>
        <v>0</v>
      </c>
      <c r="O58" s="186">
        <f>SUMIF($K$3:$K$33,"uz",$O$3:$O$33)</f>
        <v>0</v>
      </c>
      <c r="P58" s="186">
        <f>SUMIF($K$3:$K$33,"UZ",$P$3:$P$33)</f>
        <v>0</v>
      </c>
      <c r="Q58" s="186">
        <f>SUMIF($K$3:$K$33,"uz",$Q$3:$Q$33)</f>
        <v>0</v>
      </c>
      <c r="R58" s="186"/>
      <c r="S58" s="3"/>
      <c r="T58" s="159"/>
    </row>
    <row r="59" spans="13:19" ht="15.75">
      <c r="M59" s="221"/>
      <c r="N59" s="222"/>
      <c r="O59" s="222">
        <f>SUM(O55:O58)</f>
        <v>900000</v>
      </c>
      <c r="P59" s="222">
        <f>SUM(P55:P58)</f>
        <v>0</v>
      </c>
      <c r="Q59" s="222">
        <f>SUM(Q55:Q58)</f>
        <v>0</v>
      </c>
      <c r="R59" s="222"/>
      <c r="S59" s="221"/>
    </row>
    <row r="60" spans="13:19" ht="15.75">
      <c r="M60" s="197"/>
      <c r="N60" s="222"/>
      <c r="O60" s="222"/>
      <c r="P60" s="222"/>
      <c r="Q60" s="222"/>
      <c r="R60" s="222"/>
      <c r="S60" s="221"/>
    </row>
    <row r="61" spans="4:7" ht="15.75">
      <c r="D61" s="197"/>
      <c r="F61" s="223"/>
      <c r="G61" s="197"/>
    </row>
    <row r="62" spans="4:6" ht="15.75">
      <c r="D62" s="197"/>
      <c r="F62" s="197"/>
    </row>
    <row r="63" spans="10:18" ht="15.75">
      <c r="J63" s="8" t="s">
        <v>91</v>
      </c>
      <c r="O63" s="157"/>
      <c r="P63" s="8"/>
      <c r="Q63" s="8" t="s">
        <v>92</v>
      </c>
      <c r="R63" s="306" t="s">
        <v>92</v>
      </c>
    </row>
    <row r="64" spans="15:18" ht="15.75">
      <c r="O64" s="157"/>
      <c r="P64" s="225"/>
      <c r="Q64" s="225" t="s">
        <v>93</v>
      </c>
      <c r="R64" s="306" t="s">
        <v>93</v>
      </c>
    </row>
    <row r="65" spans="10:18" ht="15.75">
      <c r="J65" s="8" t="s">
        <v>94</v>
      </c>
      <c r="O65" s="157"/>
      <c r="P65" s="8"/>
      <c r="Q65" s="8" t="s">
        <v>94</v>
      </c>
      <c r="R65" s="306" t="s">
        <v>94</v>
      </c>
    </row>
    <row r="68" spans="1:20" ht="15.75">
      <c r="A68" s="157"/>
      <c r="B68" s="157"/>
      <c r="E68" s="157"/>
      <c r="H68" s="209"/>
      <c r="I68" s="157"/>
      <c r="N68" s="157"/>
      <c r="O68" s="157"/>
      <c r="P68" s="157"/>
      <c r="Q68" s="157"/>
      <c r="R68" s="157"/>
      <c r="T68" s="157"/>
    </row>
    <row r="69" spans="1:20" ht="15.75">
      <c r="A69" s="157"/>
      <c r="B69" s="157"/>
      <c r="E69" s="157"/>
      <c r="H69" s="9"/>
      <c r="I69" s="157"/>
      <c r="N69" s="157"/>
      <c r="O69" s="157"/>
      <c r="P69" s="157"/>
      <c r="Q69" s="157"/>
      <c r="R69" s="157"/>
      <c r="T69" s="157"/>
    </row>
    <row r="70" spans="4:7" ht="15.75">
      <c r="D70" s="224" t="s">
        <v>89</v>
      </c>
      <c r="G70" s="224" t="s">
        <v>90</v>
      </c>
    </row>
    <row r="71" spans="4:7" ht="15.75">
      <c r="D71" s="8" t="s">
        <v>94</v>
      </c>
      <c r="G71" s="8" t="s">
        <v>94</v>
      </c>
    </row>
  </sheetData>
  <sheetProtection/>
  <autoFilter ref="A4:T4"/>
  <mergeCells count="63">
    <mergeCell ref="E26:E30"/>
    <mergeCell ref="F26:F27"/>
    <mergeCell ref="E38:E39"/>
    <mergeCell ref="E13:E14"/>
    <mergeCell ref="E18:E19"/>
    <mergeCell ref="E36:E37"/>
    <mergeCell ref="A29:A30"/>
    <mergeCell ref="B29:B30"/>
    <mergeCell ref="C29:C30"/>
    <mergeCell ref="B20:B21"/>
    <mergeCell ref="E34:E35"/>
    <mergeCell ref="A26:A27"/>
    <mergeCell ref="D26:D27"/>
    <mergeCell ref="A20:A21"/>
    <mergeCell ref="D20:D21"/>
    <mergeCell ref="E20:E21"/>
    <mergeCell ref="D18:D19"/>
    <mergeCell ref="B18:B19"/>
    <mergeCell ref="C18:C19"/>
    <mergeCell ref="D32:D33"/>
    <mergeCell ref="G32:G33"/>
    <mergeCell ref="F20:F21"/>
    <mergeCell ref="F32:F33"/>
    <mergeCell ref="A13:A14"/>
    <mergeCell ref="D16:D17"/>
    <mergeCell ref="E15:E17"/>
    <mergeCell ref="C13:C14"/>
    <mergeCell ref="R18:R19"/>
    <mergeCell ref="A18:A19"/>
    <mergeCell ref="F18:F19"/>
    <mergeCell ref="G18:G19"/>
    <mergeCell ref="A16:A17"/>
    <mergeCell ref="G13:G14"/>
    <mergeCell ref="B13:B14"/>
    <mergeCell ref="B16:B17"/>
    <mergeCell ref="C16:C17"/>
    <mergeCell ref="N2:Q2"/>
    <mergeCell ref="F16:F17"/>
    <mergeCell ref="G16:G17"/>
    <mergeCell ref="D13:D14"/>
    <mergeCell ref="F13:F14"/>
    <mergeCell ref="N3:N4"/>
    <mergeCell ref="O3:O4"/>
    <mergeCell ref="P3:P4"/>
    <mergeCell ref="Q3:Q4"/>
    <mergeCell ref="A9:A10"/>
    <mergeCell ref="D9:D10"/>
    <mergeCell ref="F9:F10"/>
    <mergeCell ref="E43:E44"/>
    <mergeCell ref="C20:C21"/>
    <mergeCell ref="A32:A33"/>
    <mergeCell ref="B32:B33"/>
    <mergeCell ref="C32:C33"/>
    <mergeCell ref="R26:R27"/>
    <mergeCell ref="E41:E42"/>
    <mergeCell ref="D29:D3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1" r:id="rId1"/>
  <headerFooter>
    <oddHeader>&amp;C&amp;F</oddHeader>
    <oddFooter>&amp;CStrona &amp;P z &amp;N</oddFooter>
  </headerFooter>
  <rowBreaks count="2" manualBreakCount="2">
    <brk id="27" max="18" man="1"/>
    <brk id="3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0" zoomScalePageLayoutView="0" workbookViewId="0" topLeftCell="A1">
      <selection activeCell="S7" sqref="S7"/>
    </sheetView>
  </sheetViews>
  <sheetFormatPr defaultColWidth="4.3984375" defaultRowHeight="14.25"/>
  <cols>
    <col min="1" max="1" width="4.3984375" style="215" customWidth="1"/>
    <col min="2" max="2" width="6.8984375" style="156" hidden="1" customWidth="1"/>
    <col min="3" max="3" width="12.69921875" style="157" hidden="1" customWidth="1"/>
    <col min="4" max="4" width="17.3984375" style="157" customWidth="1"/>
    <col min="5" max="5" width="4.5" style="158" hidden="1" customWidth="1"/>
    <col min="6" max="6" width="19.8984375" style="157" hidden="1" customWidth="1"/>
    <col min="7" max="7" width="48.3984375" style="157" customWidth="1"/>
    <col min="8" max="8" width="9.09765625" style="156" customWidth="1"/>
    <col min="9" max="9" width="15.59765625" style="158" hidden="1" customWidth="1"/>
    <col min="10" max="10" width="12.69921875" style="157" customWidth="1"/>
    <col min="11" max="11" width="4.5" style="157" customWidth="1"/>
    <col min="12" max="12" width="15.09765625" style="157" hidden="1" customWidth="1"/>
    <col min="13" max="13" width="16.69921875" style="157" customWidth="1"/>
    <col min="14" max="14" width="18.8984375" style="159" bestFit="1" customWidth="1"/>
    <col min="15" max="15" width="18.09765625" style="159" customWidth="1"/>
    <col min="16" max="16" width="19.5" style="157" customWidth="1"/>
    <col min="17" max="17" width="5.69921875" style="160" bestFit="1" customWidth="1"/>
    <col min="18" max="18" width="11.8984375" style="157" bestFit="1" customWidth="1"/>
    <col min="19" max="251" width="9" style="157" customWidth="1"/>
    <col min="252" max="16384" width="4.3984375" style="157" customWidth="1"/>
  </cols>
  <sheetData>
    <row r="1" ht="20.25">
      <c r="A1" s="278" t="s">
        <v>215</v>
      </c>
    </row>
    <row r="2" spans="1:16" ht="74.25" customHeight="1">
      <c r="A2" s="161" t="s">
        <v>1</v>
      </c>
      <c r="B2" s="162" t="s">
        <v>2</v>
      </c>
      <c r="C2" s="31" t="s">
        <v>3</v>
      </c>
      <c r="D2" s="31" t="s">
        <v>4</v>
      </c>
      <c r="E2" s="163" t="s">
        <v>5</v>
      </c>
      <c r="F2" s="31" t="s">
        <v>6</v>
      </c>
      <c r="G2" s="31" t="s">
        <v>7</v>
      </c>
      <c r="H2" s="291" t="s">
        <v>218</v>
      </c>
      <c r="I2" s="163" t="s">
        <v>272</v>
      </c>
      <c r="J2" s="31" t="s">
        <v>10</v>
      </c>
      <c r="K2" s="31"/>
      <c r="L2" s="31" t="s">
        <v>11</v>
      </c>
      <c r="M2" s="31" t="s">
        <v>98</v>
      </c>
      <c r="N2" s="317" t="s">
        <v>291</v>
      </c>
      <c r="O2" s="164" t="s">
        <v>13</v>
      </c>
      <c r="P2" s="165" t="s">
        <v>14</v>
      </c>
    </row>
    <row r="3" spans="1:16" ht="15.75">
      <c r="A3" s="166"/>
      <c r="B3" s="167"/>
      <c r="C3" s="149"/>
      <c r="D3" s="149"/>
      <c r="E3" s="153"/>
      <c r="F3" s="149"/>
      <c r="G3" s="149"/>
      <c r="H3" s="288" t="s">
        <v>99</v>
      </c>
      <c r="I3" s="149"/>
      <c r="J3" s="149"/>
      <c r="K3" s="149"/>
      <c r="L3" s="149"/>
      <c r="M3" s="149"/>
      <c r="N3" s="386" t="s">
        <v>16</v>
      </c>
      <c r="O3" s="171"/>
      <c r="P3" s="3"/>
    </row>
    <row r="4" spans="1:17" s="178" customFormat="1" ht="15.75">
      <c r="A4" s="172"/>
      <c r="B4" s="173"/>
      <c r="C4" s="150"/>
      <c r="D4" s="150"/>
      <c r="E4" s="174"/>
      <c r="F4" s="150"/>
      <c r="G4" s="150"/>
      <c r="H4" s="289" t="s">
        <v>100</v>
      </c>
      <c r="I4" s="150"/>
      <c r="J4" s="150"/>
      <c r="K4" s="150"/>
      <c r="L4" s="175" t="s">
        <v>20</v>
      </c>
      <c r="M4" s="175"/>
      <c r="N4" s="387"/>
      <c r="O4" s="176"/>
      <c r="P4" s="177"/>
      <c r="Q4" s="160"/>
    </row>
    <row r="5" spans="1:16" ht="15.75" hidden="1">
      <c r="A5" s="179"/>
      <c r="B5" s="180"/>
      <c r="C5" s="151"/>
      <c r="D5" s="151"/>
      <c r="E5" s="154"/>
      <c r="F5" s="151"/>
      <c r="G5" s="151"/>
      <c r="H5" s="290"/>
      <c r="I5" s="154"/>
      <c r="J5" s="151"/>
      <c r="K5" s="151"/>
      <c r="L5" s="151"/>
      <c r="M5" s="151"/>
      <c r="N5" s="169" t="s">
        <v>22</v>
      </c>
      <c r="O5" s="181"/>
      <c r="P5" s="3"/>
    </row>
    <row r="6" spans="1:16" ht="75">
      <c r="A6" s="182">
        <v>1</v>
      </c>
      <c r="B6" s="183"/>
      <c r="C6" s="3"/>
      <c r="D6" s="3" t="s">
        <v>53</v>
      </c>
      <c r="E6" s="155"/>
      <c r="F6" s="3"/>
      <c r="G6" s="3" t="s">
        <v>248</v>
      </c>
      <c r="H6" s="184" t="s">
        <v>265</v>
      </c>
      <c r="I6" s="155"/>
      <c r="J6" s="189" t="s">
        <v>113</v>
      </c>
      <c r="K6" s="3" t="s">
        <v>114</v>
      </c>
      <c r="L6" s="3" t="s">
        <v>44</v>
      </c>
      <c r="M6" s="3" t="s">
        <v>29</v>
      </c>
      <c r="N6" s="188">
        <v>1476</v>
      </c>
      <c r="O6" s="195" t="s">
        <v>284</v>
      </c>
      <c r="P6" s="3"/>
    </row>
    <row r="7" spans="1:16" ht="75">
      <c r="A7" s="182">
        <v>2</v>
      </c>
      <c r="B7" s="184"/>
      <c r="C7" s="3"/>
      <c r="D7" s="3" t="s">
        <v>65</v>
      </c>
      <c r="E7" s="155"/>
      <c r="F7" s="3" t="s">
        <v>66</v>
      </c>
      <c r="G7" s="3" t="s">
        <v>249</v>
      </c>
      <c r="H7" s="184" t="s">
        <v>265</v>
      </c>
      <c r="I7" s="155"/>
      <c r="J7" s="3" t="s">
        <v>113</v>
      </c>
      <c r="K7" s="3" t="s">
        <v>114</v>
      </c>
      <c r="L7" s="3" t="s">
        <v>44</v>
      </c>
      <c r="M7" s="3" t="s">
        <v>29</v>
      </c>
      <c r="N7" s="188">
        <v>3909.6</v>
      </c>
      <c r="O7" s="195" t="s">
        <v>285</v>
      </c>
      <c r="P7" s="3"/>
    </row>
    <row r="8" spans="1:16" ht="105">
      <c r="A8" s="182">
        <v>3</v>
      </c>
      <c r="B8" s="184"/>
      <c r="C8" s="3"/>
      <c r="D8" s="3" t="s">
        <v>112</v>
      </c>
      <c r="E8" s="155"/>
      <c r="F8" s="3"/>
      <c r="G8" s="3" t="s">
        <v>250</v>
      </c>
      <c r="H8" s="184" t="s">
        <v>265</v>
      </c>
      <c r="I8" s="155"/>
      <c r="J8" s="3" t="s">
        <v>113</v>
      </c>
      <c r="K8" s="3" t="s">
        <v>114</v>
      </c>
      <c r="L8" s="3" t="s">
        <v>44</v>
      </c>
      <c r="M8" s="3" t="s">
        <v>29</v>
      </c>
      <c r="N8" s="188">
        <v>3690</v>
      </c>
      <c r="O8" s="195" t="s">
        <v>283</v>
      </c>
      <c r="P8" s="3" t="s">
        <v>239</v>
      </c>
    </row>
    <row r="9" spans="1:17" s="203" customFormat="1" ht="31.5">
      <c r="A9" s="201"/>
      <c r="B9" s="202"/>
      <c r="C9" s="33"/>
      <c r="E9" s="202"/>
      <c r="H9" s="202"/>
      <c r="I9" s="204"/>
      <c r="L9" s="205" t="s">
        <v>84</v>
      </c>
      <c r="M9" s="183" t="s">
        <v>85</v>
      </c>
      <c r="N9" s="206">
        <f>SUM(N6:N8)</f>
        <v>9075.6</v>
      </c>
      <c r="O9" s="206"/>
      <c r="P9" s="205"/>
      <c r="Q9" s="207"/>
    </row>
    <row r="10" spans="1:17" s="210" customFormat="1" ht="15.75">
      <c r="A10" s="208"/>
      <c r="B10" s="209"/>
      <c r="C10" s="36"/>
      <c r="E10" s="209"/>
      <c r="H10" s="209"/>
      <c r="I10" s="211"/>
      <c r="M10" s="212" t="s">
        <v>86</v>
      </c>
      <c r="N10" s="213"/>
      <c r="O10" s="213"/>
      <c r="P10" s="212"/>
      <c r="Q10" s="214"/>
    </row>
    <row r="11" spans="13:16" ht="30">
      <c r="M11" s="3" t="s">
        <v>29</v>
      </c>
      <c r="N11" s="186">
        <f>SUMIF($M$6:$M$8,M11,$N$6:$N$8)</f>
        <v>9075.6</v>
      </c>
      <c r="O11" s="186"/>
      <c r="P11" s="3"/>
    </row>
    <row r="12" spans="2:14" s="200" customFormat="1" ht="15">
      <c r="B12" s="216"/>
      <c r="F12" s="217"/>
      <c r="H12" s="218"/>
      <c r="M12" s="219" t="s">
        <v>209</v>
      </c>
      <c r="N12" s="294">
        <f>_xlfn.SUMIFS($N$6:$N$8,$H$6:$H$8,"P",$M$6:$M$8,$M$11)</f>
        <v>9075.6</v>
      </c>
    </row>
    <row r="13" spans="2:14" s="200" customFormat="1" ht="15">
      <c r="B13" s="216"/>
      <c r="F13" s="217"/>
      <c r="G13" s="277"/>
      <c r="H13" s="218"/>
      <c r="J13" s="277"/>
      <c r="M13" s="219" t="s">
        <v>210</v>
      </c>
      <c r="N13" s="294">
        <f>_xlfn.SUMIFS($N$6:$N$8,$H$6:$H$8,"R",$M$6:$M$8,$M$11)</f>
        <v>0</v>
      </c>
    </row>
    <row r="14" spans="13:16" ht="32.25" customHeight="1" hidden="1">
      <c r="M14" s="3" t="s">
        <v>259</v>
      </c>
      <c r="N14" s="186">
        <f>SUMIF($M$6:$M$8,M14,$N$6:$N$8)</f>
        <v>0</v>
      </c>
      <c r="O14" s="186"/>
      <c r="P14" s="3"/>
    </row>
    <row r="15" spans="2:14" s="200" customFormat="1" ht="15" hidden="1">
      <c r="B15" s="216"/>
      <c r="F15" s="217"/>
      <c r="H15" s="218"/>
      <c r="M15" s="219" t="s">
        <v>209</v>
      </c>
      <c r="N15" s="220">
        <f>_xlfn.SUMIFS($N$6:$N$8,$H$6:$H$8,"P",$M$6:$M$8,$M$14)</f>
        <v>0</v>
      </c>
    </row>
    <row r="16" spans="2:14" s="200" customFormat="1" ht="15" hidden="1">
      <c r="B16" s="216"/>
      <c r="F16" s="217"/>
      <c r="H16" s="218"/>
      <c r="M16" s="219" t="s">
        <v>210</v>
      </c>
      <c r="N16" s="220">
        <f>_xlfn.SUMIFS($N$6:$N$8,$H$6:$H$8,"R",$M$6:$M$8,$M$14)</f>
        <v>0</v>
      </c>
    </row>
    <row r="17" spans="13:16" ht="32.25" customHeight="1" hidden="1">
      <c r="M17" s="3" t="s">
        <v>260</v>
      </c>
      <c r="N17" s="186">
        <f>SUMIF($M$6:$M$8,M17,$N$6:$N$8)</f>
        <v>0</v>
      </c>
      <c r="O17" s="186"/>
      <c r="P17" s="3"/>
    </row>
    <row r="18" spans="2:14" s="200" customFormat="1" ht="15" hidden="1">
      <c r="B18" s="216"/>
      <c r="F18" s="217"/>
      <c r="H18" s="218"/>
      <c r="M18" s="219" t="s">
        <v>209</v>
      </c>
      <c r="N18" s="220">
        <f>_xlfn.SUMIFS($N$6:$N$8,$H$6:$H$8,"P",$M$6:$M$8,$M$17)</f>
        <v>0</v>
      </c>
    </row>
    <row r="19" spans="2:14" s="200" customFormat="1" ht="15" hidden="1">
      <c r="B19" s="216"/>
      <c r="F19" s="217"/>
      <c r="H19" s="218"/>
      <c r="M19" s="219" t="s">
        <v>210</v>
      </c>
      <c r="N19" s="220">
        <f>_xlfn.SUMIFS($N$6:$N$8,$H$6:$H$8,"R",$M$6:$M$8,$M$17)</f>
        <v>0</v>
      </c>
    </row>
    <row r="20" spans="13:16" ht="30" hidden="1">
      <c r="M20" s="3" t="s">
        <v>132</v>
      </c>
      <c r="N20" s="186">
        <f>SUMIF($M$6:$M$8,M20,$N$6:$N$8)</f>
        <v>0</v>
      </c>
      <c r="O20" s="186"/>
      <c r="P20" s="3"/>
    </row>
    <row r="21" spans="2:14" s="200" customFormat="1" ht="15" hidden="1">
      <c r="B21" s="216"/>
      <c r="F21" s="217"/>
      <c r="H21" s="218"/>
      <c r="M21" s="219" t="s">
        <v>209</v>
      </c>
      <c r="N21" s="220">
        <f>_xlfn.SUMIFS($N$6:$N$8,$H$6:$H$8,"P",$M$6:$M$8,$M$20)</f>
        <v>0</v>
      </c>
    </row>
    <row r="22" spans="2:14" s="200" customFormat="1" ht="15" hidden="1">
      <c r="B22" s="216"/>
      <c r="F22" s="217"/>
      <c r="H22" s="218"/>
      <c r="M22" s="219" t="s">
        <v>210</v>
      </c>
      <c r="N22" s="220">
        <f>_xlfn.SUMIFS($N$6:$N$8,$H$6:$H$8,"R",$M$6:$M$8,$M$20)</f>
        <v>0</v>
      </c>
    </row>
    <row r="23" spans="13:16" ht="60" hidden="1">
      <c r="M23" s="3" t="s">
        <v>146</v>
      </c>
      <c r="N23" s="186">
        <f>SUMIF($M$6:$M$8,M23,$N$6:$N$8)</f>
        <v>0</v>
      </c>
      <c r="O23" s="186"/>
      <c r="P23" s="3"/>
    </row>
    <row r="24" spans="2:14" s="200" customFormat="1" ht="15" hidden="1">
      <c r="B24" s="216"/>
      <c r="F24" s="217"/>
      <c r="H24" s="218"/>
      <c r="M24" s="219" t="s">
        <v>209</v>
      </c>
      <c r="N24" s="220">
        <f>_xlfn.SUMIFS($N$6:$N$8,$H$6:$H$8,"P",$M$6:$M$8,$M$23)</f>
        <v>0</v>
      </c>
    </row>
    <row r="25" spans="2:14" s="200" customFormat="1" ht="15" hidden="1">
      <c r="B25" s="216"/>
      <c r="F25" s="217"/>
      <c r="H25" s="218"/>
      <c r="M25" s="219" t="s">
        <v>210</v>
      </c>
      <c r="N25" s="220">
        <f>_xlfn.SUMIFS($N$6:$N$8,$H$6:$H$8,"R",$M$6:$M$8,$M$23)</f>
        <v>0</v>
      </c>
    </row>
    <row r="26" spans="13:16" ht="45" hidden="1">
      <c r="M26" s="3" t="s">
        <v>36</v>
      </c>
      <c r="N26" s="186">
        <f>SUMIF($M$6:$M$8,M26,$N$6:$N$8)</f>
        <v>0</v>
      </c>
      <c r="O26" s="186"/>
      <c r="P26" s="3"/>
    </row>
    <row r="27" spans="2:14" s="200" customFormat="1" ht="15" hidden="1">
      <c r="B27" s="216"/>
      <c r="F27" s="217"/>
      <c r="H27" s="218"/>
      <c r="M27" s="219" t="s">
        <v>209</v>
      </c>
      <c r="N27" s="220">
        <f>_xlfn.SUMIFS($N$6:$N$8,$H$6:$H$8,"P",$M$6:$M$8,$M$26)</f>
        <v>0</v>
      </c>
    </row>
    <row r="28" spans="2:14" s="200" customFormat="1" ht="15" hidden="1">
      <c r="B28" s="216"/>
      <c r="F28" s="217"/>
      <c r="H28" s="218"/>
      <c r="M28" s="219" t="s">
        <v>210</v>
      </c>
      <c r="N28" s="220">
        <f>_xlfn.SUMIFS($N$6:$N$8,$H$6:$H$8,"R",$M$6:$M$8,$M$26)</f>
        <v>0</v>
      </c>
    </row>
    <row r="29" spans="1:17" s="210" customFormat="1" ht="15.75" hidden="1">
      <c r="A29" s="208"/>
      <c r="B29" s="209"/>
      <c r="C29" s="36"/>
      <c r="E29" s="209"/>
      <c r="H29" s="209"/>
      <c r="I29" s="211"/>
      <c r="M29" s="212" t="s">
        <v>86</v>
      </c>
      <c r="N29" s="213"/>
      <c r="O29" s="213"/>
      <c r="P29" s="212"/>
      <c r="Q29" s="214"/>
    </row>
    <row r="30" spans="12:16" ht="31.5" hidden="1">
      <c r="L30" s="197"/>
      <c r="M30" s="3" t="s">
        <v>231</v>
      </c>
      <c r="N30" s="186">
        <f>SUMIF($K$3:$K$8,"RB",$N$3:$N$8)</f>
        <v>0</v>
      </c>
      <c r="O30" s="186"/>
      <c r="P30" s="3"/>
    </row>
    <row r="31" spans="12:16" ht="31.5" hidden="1">
      <c r="L31" s="197"/>
      <c r="M31" s="3" t="s">
        <v>232</v>
      </c>
      <c r="N31" s="186">
        <f>SUMIF($K$3:$K$8,"up",$N$3:$N$8)</f>
        <v>0</v>
      </c>
      <c r="O31" s="186"/>
      <c r="P31" s="3"/>
    </row>
    <row r="32" spans="6:17" ht="15.75" hidden="1">
      <c r="F32" s="197"/>
      <c r="L32" s="197"/>
      <c r="M32" s="3" t="s">
        <v>233</v>
      </c>
      <c r="N32" s="186">
        <f>SUMIF($K$3:$K$8,"u",$N$3:$N$8)</f>
        <v>9075.6</v>
      </c>
      <c r="O32" s="186"/>
      <c r="P32" s="3"/>
      <c r="Q32" s="159"/>
    </row>
    <row r="33" spans="6:17" ht="30.75" hidden="1">
      <c r="F33" s="197"/>
      <c r="L33" s="197"/>
      <c r="M33" s="3" t="s">
        <v>234</v>
      </c>
      <c r="N33" s="186">
        <f>SUMIF($K$3:$K$8,"uz",$N$3:$N$8)</f>
        <v>0</v>
      </c>
      <c r="O33" s="186"/>
      <c r="P33" s="3"/>
      <c r="Q33" s="159"/>
    </row>
    <row r="34" spans="13:16" ht="15.75" hidden="1">
      <c r="M34" s="221"/>
      <c r="N34" s="222">
        <f>SUM(N30:N33)</f>
        <v>9075.6</v>
      </c>
      <c r="O34" s="222"/>
      <c r="P34" s="221"/>
    </row>
    <row r="35" spans="13:16" ht="15.75">
      <c r="M35" s="197"/>
      <c r="N35" s="222"/>
      <c r="O35" s="222"/>
      <c r="P35" s="221"/>
    </row>
    <row r="36" spans="4:15" ht="15.75">
      <c r="D36" s="197"/>
      <c r="F36" s="223"/>
      <c r="G36" s="197"/>
      <c r="H36" s="8" t="s">
        <v>91</v>
      </c>
      <c r="O36" s="8" t="s">
        <v>92</v>
      </c>
    </row>
    <row r="37" spans="4:15" ht="15.75">
      <c r="D37" s="197"/>
      <c r="F37" s="197"/>
      <c r="H37" s="157"/>
      <c r="O37" s="225" t="s">
        <v>93</v>
      </c>
    </row>
    <row r="38" spans="8:15" ht="15.75">
      <c r="H38" s="8" t="s">
        <v>94</v>
      </c>
      <c r="O38" s="8" t="s">
        <v>94</v>
      </c>
    </row>
    <row r="39" spans="1:15" ht="15">
      <c r="A39" s="157"/>
      <c r="B39" s="157"/>
      <c r="E39" s="157"/>
      <c r="H39" s="157"/>
      <c r="I39" s="157"/>
      <c r="N39" s="157"/>
      <c r="O39" s="157"/>
    </row>
    <row r="40" spans="1:15" ht="15">
      <c r="A40" s="157"/>
      <c r="B40" s="157"/>
      <c r="E40" s="157"/>
      <c r="H40" s="157"/>
      <c r="I40" s="157"/>
      <c r="N40" s="157"/>
      <c r="O40" s="157"/>
    </row>
    <row r="43" spans="1:17" ht="15.75">
      <c r="A43" s="224" t="s">
        <v>89</v>
      </c>
      <c r="H43" s="224" t="s">
        <v>90</v>
      </c>
      <c r="I43" s="157"/>
      <c r="N43" s="157"/>
      <c r="O43" s="157"/>
      <c r="Q43" s="157"/>
    </row>
    <row r="44" spans="1:17" ht="15.75">
      <c r="A44" s="8" t="s">
        <v>94</v>
      </c>
      <c r="H44" s="8" t="s">
        <v>94</v>
      </c>
      <c r="I44" s="157"/>
      <c r="N44" s="157"/>
      <c r="O44" s="157"/>
      <c r="Q44" s="157"/>
    </row>
  </sheetData>
  <sheetProtection/>
  <mergeCells count="1"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>
    <oddHeader>&amp;C&amp;F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22" sqref="E22"/>
    </sheetView>
  </sheetViews>
  <sheetFormatPr defaultColWidth="8.796875" defaultRowHeight="14.25"/>
  <cols>
    <col min="1" max="1" width="33.69921875" style="322" customWidth="1"/>
    <col min="2" max="2" width="20.09765625" style="322" hidden="1" customWidth="1"/>
    <col min="3" max="3" width="13.59765625" style="322" customWidth="1"/>
    <col min="4" max="4" width="13.09765625" style="333" bestFit="1" customWidth="1"/>
    <col min="5" max="5" width="16.19921875" style="333" bestFit="1" customWidth="1"/>
    <col min="6" max="16384" width="9" style="322" customWidth="1"/>
  </cols>
  <sheetData>
    <row r="1" spans="1:6" ht="92.25" customHeight="1">
      <c r="A1" s="412" t="s">
        <v>297</v>
      </c>
      <c r="B1" s="412"/>
      <c r="C1" s="412"/>
      <c r="D1" s="412"/>
      <c r="E1" s="412"/>
      <c r="F1" s="321"/>
    </row>
    <row r="2" spans="1:6" ht="12.75">
      <c r="A2" s="323"/>
      <c r="B2" s="323"/>
      <c r="C2" s="323"/>
      <c r="D2" s="332"/>
      <c r="E2" s="332"/>
      <c r="F2" s="323"/>
    </row>
    <row r="3" spans="2:5" s="261" customFormat="1" ht="15.75">
      <c r="B3" s="324">
        <v>2012</v>
      </c>
      <c r="C3" s="409" t="s">
        <v>298</v>
      </c>
      <c r="D3" s="410"/>
      <c r="E3" s="411"/>
    </row>
    <row r="4" spans="1:5" s="330" customFormat="1" ht="29.25" customHeight="1">
      <c r="A4" s="329" t="s">
        <v>147</v>
      </c>
      <c r="B4" s="349" t="e">
        <f>REMONTY!#REF!</f>
        <v>#REF!</v>
      </c>
      <c r="C4" s="350"/>
      <c r="D4" s="351"/>
      <c r="E4" s="349">
        <f>REMONTY!$M$24</f>
        <v>1363400</v>
      </c>
    </row>
    <row r="5" spans="1:5" s="326" customFormat="1" ht="12.75">
      <c r="A5" s="281" t="s">
        <v>98</v>
      </c>
      <c r="B5" s="325"/>
      <c r="C5" s="335" t="s">
        <v>299</v>
      </c>
      <c r="D5" s="346" t="s">
        <v>300</v>
      </c>
      <c r="E5" s="348" t="s">
        <v>301</v>
      </c>
    </row>
    <row r="6" spans="1:5" s="327" customFormat="1" ht="12.75">
      <c r="A6" s="44" t="s">
        <v>29</v>
      </c>
      <c r="B6" s="124" t="e">
        <f>REMONTY!#REF!</f>
        <v>#REF!</v>
      </c>
      <c r="C6" s="336">
        <f>REMONTY!M26</f>
        <v>463300</v>
      </c>
      <c r="D6" s="344">
        <f>REMONTY!M27</f>
        <v>358300</v>
      </c>
      <c r="E6" s="337">
        <f>REMONTY!M28</f>
        <v>105000</v>
      </c>
    </row>
    <row r="7" spans="1:5" s="327" customFormat="1" ht="25.5">
      <c r="A7" s="47" t="s">
        <v>67</v>
      </c>
      <c r="B7" s="124" t="e">
        <f>REMONTY!#REF!</f>
        <v>#REF!</v>
      </c>
      <c r="C7" s="336">
        <f>REMONTY!M29</f>
        <v>889100</v>
      </c>
      <c r="D7" s="344">
        <f>REMONTY!M30</f>
        <v>889100</v>
      </c>
      <c r="E7" s="337">
        <f>REMONTY!M31</f>
        <v>0</v>
      </c>
    </row>
    <row r="8" spans="1:5" s="327" customFormat="1" ht="12.75">
      <c r="A8" s="46" t="s">
        <v>36</v>
      </c>
      <c r="B8" s="124" t="e">
        <f>REMONTY!#REF!</f>
        <v>#REF!</v>
      </c>
      <c r="C8" s="336">
        <f>REMONTY!M32</f>
        <v>11000</v>
      </c>
      <c r="D8" s="344">
        <f>REMONTY!M33</f>
        <v>11000</v>
      </c>
      <c r="E8" s="337">
        <f>REMONTY!M34</f>
        <v>0</v>
      </c>
    </row>
    <row r="9" spans="1:5" s="330" customFormat="1" ht="29.25" customHeight="1">
      <c r="A9" s="329" t="s">
        <v>149</v>
      </c>
      <c r="B9" s="341" t="e">
        <f>INWESTYCJE!#REF!</f>
        <v>#REF!</v>
      </c>
      <c r="C9" s="342"/>
      <c r="D9" s="343"/>
      <c r="E9" s="341">
        <f>INWESTYCJE!$N34</f>
        <v>1862559</v>
      </c>
    </row>
    <row r="10" spans="1:5" ht="12.75">
      <c r="A10" s="281" t="s">
        <v>98</v>
      </c>
      <c r="B10" s="325"/>
      <c r="C10" s="335" t="s">
        <v>299</v>
      </c>
      <c r="D10" s="346" t="s">
        <v>300</v>
      </c>
      <c r="E10" s="348" t="s">
        <v>301</v>
      </c>
    </row>
    <row r="11" spans="1:5" s="260" customFormat="1" ht="12.75">
      <c r="A11" s="47" t="s">
        <v>29</v>
      </c>
      <c r="B11" s="126" t="e">
        <f>INWESTYCJE!#REF!</f>
        <v>#REF!</v>
      </c>
      <c r="C11" s="126">
        <f>INWESTYCJE!N36</f>
        <v>1591559</v>
      </c>
      <c r="D11" s="344">
        <f>INWESTYCJE!N37</f>
        <v>1448959</v>
      </c>
      <c r="E11" s="339">
        <f>INWESTYCJE!N38</f>
        <v>142600</v>
      </c>
    </row>
    <row r="12" spans="1:5" s="260" customFormat="1" ht="12.75" hidden="1">
      <c r="A12" s="47" t="s">
        <v>259</v>
      </c>
      <c r="B12" s="126" t="e">
        <f>INWESTYCJE!#REF!</f>
        <v>#REF!</v>
      </c>
      <c r="C12" s="126">
        <f>INWESTYCJE!N39</f>
        <v>0</v>
      </c>
      <c r="D12" s="344"/>
      <c r="E12" s="339"/>
    </row>
    <row r="13" spans="1:5" s="260" customFormat="1" ht="12.75" hidden="1">
      <c r="A13" s="47" t="s">
        <v>261</v>
      </c>
      <c r="B13" s="126"/>
      <c r="C13" s="126"/>
      <c r="D13" s="344"/>
      <c r="E13" s="339"/>
    </row>
    <row r="14" spans="1:5" s="327" customFormat="1" ht="12.75" hidden="1">
      <c r="A14" s="47" t="s">
        <v>132</v>
      </c>
      <c r="B14" s="126" t="e">
        <f>INWESTYCJE!#REF!</f>
        <v>#REF!</v>
      </c>
      <c r="C14" s="126">
        <f>INWESTYCJE!N45</f>
        <v>0</v>
      </c>
      <c r="D14" s="344"/>
      <c r="E14" s="339"/>
    </row>
    <row r="15" spans="1:5" s="327" customFormat="1" ht="25.5" hidden="1">
      <c r="A15" s="47" t="s">
        <v>67</v>
      </c>
      <c r="B15" s="126" t="e">
        <f>INWESTYCJE!#REF!</f>
        <v>#REF!</v>
      </c>
      <c r="C15" s="319">
        <f>INWESTYCJE!N48</f>
        <v>0</v>
      </c>
      <c r="D15" s="344"/>
      <c r="E15" s="339"/>
    </row>
    <row r="16" spans="1:5" s="327" customFormat="1" ht="12.75">
      <c r="A16" s="49" t="s">
        <v>36</v>
      </c>
      <c r="B16" s="126" t="e">
        <f>INWESTYCJE!#REF!</f>
        <v>#REF!</v>
      </c>
      <c r="C16" s="126">
        <f>INWESTYCJE!N51</f>
        <v>271000</v>
      </c>
      <c r="D16" s="344">
        <f>INWESTYCJE!N52</f>
        <v>271000</v>
      </c>
      <c r="E16" s="339">
        <f>INWESTYCJE!N53</f>
        <v>0</v>
      </c>
    </row>
    <row r="17" spans="1:5" s="330" customFormat="1" ht="29.25" customHeight="1">
      <c r="A17" s="329" t="s">
        <v>295</v>
      </c>
      <c r="B17" s="349" t="e">
        <f>REMONTY!#REF!</f>
        <v>#REF!</v>
      </c>
      <c r="C17" s="350"/>
      <c r="D17" s="351"/>
      <c r="E17" s="349">
        <f>USŁUGI!$N$9</f>
        <v>9075.6</v>
      </c>
    </row>
    <row r="18" spans="1:5" s="326" customFormat="1" ht="12.75">
      <c r="A18" s="281" t="s">
        <v>98</v>
      </c>
      <c r="B18" s="325"/>
      <c r="C18" s="335" t="s">
        <v>299</v>
      </c>
      <c r="D18" s="346" t="s">
        <v>300</v>
      </c>
      <c r="E18" s="347" t="s">
        <v>301</v>
      </c>
    </row>
    <row r="19" spans="1:5" s="327" customFormat="1" ht="12.75">
      <c r="A19" s="44" t="s">
        <v>29</v>
      </c>
      <c r="B19" s="124" t="e">
        <f>REMONTY!#REF!</f>
        <v>#REF!</v>
      </c>
      <c r="C19" s="124">
        <f>USŁUGI!N11</f>
        <v>9075.6</v>
      </c>
      <c r="D19" s="344">
        <f>USŁUGI!N12</f>
        <v>9075.6</v>
      </c>
      <c r="E19" s="339">
        <f>USŁUGI!N13</f>
        <v>0</v>
      </c>
    </row>
    <row r="20" spans="1:5" s="327" customFormat="1" ht="25.5" hidden="1">
      <c r="A20" s="47" t="s">
        <v>67</v>
      </c>
      <c r="B20" s="124" t="e">
        <f>REMONTY!#REF!</f>
        <v>#REF!</v>
      </c>
      <c r="C20" s="318">
        <v>0</v>
      </c>
      <c r="D20" s="338"/>
      <c r="E20" s="338"/>
    </row>
    <row r="21" spans="1:5" s="327" customFormat="1" ht="12.75" hidden="1">
      <c r="A21" s="46" t="s">
        <v>36</v>
      </c>
      <c r="B21" s="124" t="e">
        <f>REMONTY!#REF!</f>
        <v>#REF!</v>
      </c>
      <c r="C21" s="353">
        <v>0</v>
      </c>
      <c r="D21" s="338"/>
      <c r="E21" s="338"/>
    </row>
    <row r="22" spans="1:5" s="330" customFormat="1" ht="29.25" customHeight="1">
      <c r="A22" s="331" t="s">
        <v>296</v>
      </c>
      <c r="B22" s="341" t="e">
        <f>B4+B9</f>
        <v>#REF!</v>
      </c>
      <c r="C22" s="342"/>
      <c r="D22" s="343"/>
      <c r="E22" s="352">
        <f>E4+E9+E17</f>
        <v>3235034.6</v>
      </c>
    </row>
    <row r="23" spans="1:5" ht="12.75">
      <c r="A23" s="281" t="s">
        <v>98</v>
      </c>
      <c r="B23" s="325"/>
      <c r="C23" s="335" t="s">
        <v>299</v>
      </c>
      <c r="D23" s="346" t="s">
        <v>300</v>
      </c>
      <c r="E23" s="347" t="s">
        <v>301</v>
      </c>
    </row>
    <row r="24" spans="1:5" ht="12.75">
      <c r="A24" s="44" t="s">
        <v>29</v>
      </c>
      <c r="B24" s="45" t="e">
        <f>B6+B11</f>
        <v>#REF!</v>
      </c>
      <c r="C24" s="45">
        <f>C6+C11+C19</f>
        <v>2063934.6</v>
      </c>
      <c r="D24" s="345">
        <f>D6+D11+D19</f>
        <v>1816334.6</v>
      </c>
      <c r="E24" s="340">
        <f>E6+E11+E19</f>
        <v>247600</v>
      </c>
    </row>
    <row r="25" spans="1:5" ht="12.75" hidden="1">
      <c r="A25" s="47" t="s">
        <v>141</v>
      </c>
      <c r="B25" s="48" t="e">
        <f>B12</f>
        <v>#REF!</v>
      </c>
      <c r="C25" s="48">
        <f>C12</f>
        <v>0</v>
      </c>
      <c r="D25" s="340">
        <f>D12</f>
        <v>0</v>
      </c>
      <c r="E25" s="340">
        <f>E12</f>
        <v>0</v>
      </c>
    </row>
    <row r="26" spans="1:5" s="326" customFormat="1" ht="12.75" hidden="1">
      <c r="A26" s="47" t="s">
        <v>132</v>
      </c>
      <c r="B26" s="48" t="e">
        <f>B14</f>
        <v>#REF!</v>
      </c>
      <c r="C26" s="48">
        <f>C14</f>
        <v>0</v>
      </c>
      <c r="D26" s="340">
        <f>D14</f>
        <v>0</v>
      </c>
      <c r="E26" s="340">
        <f>E14</f>
        <v>0</v>
      </c>
    </row>
    <row r="27" spans="1:5" ht="25.5">
      <c r="A27" s="47" t="s">
        <v>67</v>
      </c>
      <c r="B27" s="45" t="e">
        <f>B7+B15</f>
        <v>#REF!</v>
      </c>
      <c r="C27" s="364">
        <f aca="true" t="shared" si="0" ref="C27:E28">C7+C15+C20</f>
        <v>889100</v>
      </c>
      <c r="D27" s="365">
        <f t="shared" si="0"/>
        <v>889100</v>
      </c>
      <c r="E27" s="366">
        <f t="shared" si="0"/>
        <v>0</v>
      </c>
    </row>
    <row r="28" spans="1:5" ht="12.75">
      <c r="A28" s="46" t="s">
        <v>36</v>
      </c>
      <c r="B28" s="45" t="e">
        <f>B8+B16</f>
        <v>#REF!</v>
      </c>
      <c r="C28" s="45">
        <f t="shared" si="0"/>
        <v>282000</v>
      </c>
      <c r="D28" s="345">
        <f t="shared" si="0"/>
        <v>282000</v>
      </c>
      <c r="E28" s="340">
        <f t="shared" si="0"/>
        <v>0</v>
      </c>
    </row>
    <row r="29" spans="1:3" ht="12.75">
      <c r="A29" s="50"/>
      <c r="B29" s="51"/>
      <c r="C29" s="51"/>
    </row>
    <row r="30" spans="1:5" s="260" customFormat="1" ht="12.75">
      <c r="A30" s="52" t="s">
        <v>91</v>
      </c>
      <c r="D30" s="53" t="s">
        <v>92</v>
      </c>
      <c r="E30" s="334"/>
    </row>
    <row r="31" spans="4:5" s="260" customFormat="1" ht="12.75">
      <c r="D31" s="320" t="s">
        <v>93</v>
      </c>
      <c r="E31" s="334"/>
    </row>
    <row r="32" spans="1:4" ht="23.25" customHeight="1">
      <c r="A32" s="53" t="s">
        <v>94</v>
      </c>
      <c r="D32" s="53" t="s">
        <v>94</v>
      </c>
    </row>
    <row r="39" spans="1:3" ht="12.75">
      <c r="A39" s="328" t="s">
        <v>89</v>
      </c>
      <c r="C39" s="328" t="s">
        <v>90</v>
      </c>
    </row>
    <row r="40" spans="1:3" ht="34.5" customHeight="1">
      <c r="A40" s="53" t="s">
        <v>94</v>
      </c>
      <c r="C40" s="53" t="s">
        <v>94</v>
      </c>
    </row>
  </sheetData>
  <sheetProtection/>
  <mergeCells count="2">
    <mergeCell ref="C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34"/>
  <sheetViews>
    <sheetView view="pageBreakPreview" zoomScale="90" zoomScaleSheetLayoutView="90" zoomScalePageLayoutView="0" workbookViewId="0" topLeftCell="A3">
      <selection activeCell="E38" sqref="E38"/>
    </sheetView>
  </sheetViews>
  <sheetFormatPr defaultColWidth="8.796875" defaultRowHeight="14.25"/>
  <cols>
    <col min="1" max="1" width="7.59765625" style="0" customWidth="1"/>
    <col min="2" max="2" width="20.69921875" style="0" bestFit="1" customWidth="1"/>
    <col min="3" max="3" width="15.3984375" style="0" customWidth="1"/>
    <col min="4" max="4" width="17.19921875" style="0" customWidth="1"/>
    <col min="5" max="5" width="11.3984375" style="0" customWidth="1"/>
    <col min="6" max="6" width="12.09765625" style="0" customWidth="1"/>
  </cols>
  <sheetData>
    <row r="2" ht="65.25" customHeight="1"/>
    <row r="3" spans="1:6" ht="27.75">
      <c r="A3" s="413" t="s">
        <v>204</v>
      </c>
      <c r="B3" s="413"/>
      <c r="C3" s="413"/>
      <c r="D3" s="413"/>
      <c r="E3" s="413"/>
      <c r="F3" s="413"/>
    </row>
    <row r="4" spans="1:6" ht="30">
      <c r="A4" s="414" t="s">
        <v>292</v>
      </c>
      <c r="B4" s="414"/>
      <c r="C4" s="414"/>
      <c r="D4" s="414"/>
      <c r="E4" s="414"/>
      <c r="F4" s="414"/>
    </row>
    <row r="5" spans="1:6" ht="68.25" customHeight="1">
      <c r="A5" s="415" t="s">
        <v>150</v>
      </c>
      <c r="B5" s="415"/>
      <c r="C5" s="415"/>
      <c r="D5" s="415"/>
      <c r="E5" s="415"/>
      <c r="F5" s="415"/>
    </row>
    <row r="6" spans="1:6" ht="48" customHeight="1">
      <c r="A6" s="416" t="s">
        <v>267</v>
      </c>
      <c r="B6" s="416"/>
      <c r="C6" s="416"/>
      <c r="D6" s="416"/>
      <c r="E6" s="416"/>
      <c r="F6" s="416"/>
    </row>
    <row r="24" spans="3:5" ht="14.25">
      <c r="C24" s="54"/>
      <c r="D24" s="54"/>
      <c r="E24" s="54"/>
    </row>
    <row r="25" spans="3:5" ht="14.25">
      <c r="C25" s="54"/>
      <c r="D25" s="54"/>
      <c r="E25" s="54"/>
    </row>
    <row r="26" spans="3:5" ht="14.25">
      <c r="C26" s="54"/>
      <c r="D26" s="55"/>
      <c r="E26" s="55"/>
    </row>
    <row r="27" spans="3:6" ht="15" thickBot="1">
      <c r="C27" s="56"/>
      <c r="D27" s="57" t="s">
        <v>151</v>
      </c>
      <c r="E27" s="57" t="s">
        <v>152</v>
      </c>
      <c r="F27" s="57" t="s">
        <v>153</v>
      </c>
    </row>
    <row r="28" spans="3:6" ht="15" thickTop="1">
      <c r="C28" s="58"/>
      <c r="D28" s="59" t="s">
        <v>199</v>
      </c>
      <c r="E28" s="59" t="s">
        <v>293</v>
      </c>
      <c r="F28" s="59" t="s">
        <v>294</v>
      </c>
    </row>
    <row r="29" spans="3:6" ht="14.25">
      <c r="C29" s="60"/>
      <c r="D29" s="59" t="s">
        <v>315</v>
      </c>
      <c r="E29" s="61" t="s">
        <v>316</v>
      </c>
      <c r="F29" s="61" t="s">
        <v>316</v>
      </c>
    </row>
    <row r="30" spans="3:6" ht="14.25">
      <c r="C30" s="60"/>
      <c r="D30" s="59"/>
      <c r="E30" s="62"/>
      <c r="F30" s="62"/>
    </row>
    <row r="31" spans="3:6" ht="14.25">
      <c r="C31" s="60"/>
      <c r="D31" s="59"/>
      <c r="E31" s="63"/>
      <c r="F31" s="63"/>
    </row>
    <row r="32" spans="4:6" ht="14.25">
      <c r="D32" s="59"/>
      <c r="E32" s="64"/>
      <c r="F32" s="64"/>
    </row>
    <row r="33" spans="4:6" ht="14.25">
      <c r="D33" s="59"/>
      <c r="E33" s="64"/>
      <c r="F33" s="64"/>
    </row>
    <row r="34" spans="4:6" ht="14.25">
      <c r="D34" s="64"/>
      <c r="E34" s="64"/>
      <c r="F34" s="64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2">
      <selection activeCell="AA21" sqref="AA21"/>
    </sheetView>
  </sheetViews>
  <sheetFormatPr defaultColWidth="8.796875" defaultRowHeight="14.25"/>
  <cols>
    <col min="1" max="1" width="3.09765625" style="94" customWidth="1"/>
    <col min="2" max="2" width="8.5" style="94" hidden="1" customWidth="1"/>
    <col min="3" max="3" width="19.19921875" style="94" hidden="1" customWidth="1"/>
    <col min="4" max="4" width="16.5" style="94" customWidth="1"/>
    <col min="5" max="5" width="10.09765625" style="94" hidden="1" customWidth="1"/>
    <col min="6" max="6" width="15.59765625" style="94" hidden="1" customWidth="1"/>
    <col min="7" max="7" width="29.8984375" style="94" customWidth="1"/>
    <col min="8" max="9" width="0" style="94" hidden="1" customWidth="1"/>
    <col min="10" max="10" width="9.69921875" style="94" customWidth="1"/>
    <col min="11" max="12" width="0" style="94" hidden="1" customWidth="1"/>
    <col min="13" max="13" width="15.59765625" style="94" customWidth="1"/>
    <col min="14" max="14" width="3.09765625" style="94" hidden="1" customWidth="1"/>
    <col min="15" max="15" width="10.59765625" style="94" hidden="1" customWidth="1"/>
    <col min="16" max="16" width="11.09765625" style="94" hidden="1" customWidth="1"/>
    <col min="17" max="17" width="9.69921875" style="94" hidden="1" customWidth="1"/>
    <col min="18" max="18" width="3.09765625" style="94" hidden="1" customWidth="1"/>
    <col min="19" max="19" width="10.59765625" style="94" hidden="1" customWidth="1"/>
    <col min="20" max="21" width="11.09765625" style="94" hidden="1" customWidth="1"/>
    <col min="22" max="22" width="3.09765625" style="94" hidden="1" customWidth="1"/>
    <col min="23" max="25" width="0" style="94" hidden="1" customWidth="1"/>
    <col min="26" max="26" width="17.8984375" style="94" customWidth="1"/>
    <col min="27" max="27" width="13.59765625" style="94" bestFit="1" customWidth="1"/>
    <col min="28" max="28" width="31.5" style="94" customWidth="1"/>
    <col min="29" max="16384" width="9" style="94" customWidth="1"/>
  </cols>
  <sheetData>
    <row r="1" spans="1:27" s="30" customFormat="1" ht="23.25">
      <c r="A1" s="65" t="s">
        <v>154</v>
      </c>
      <c r="B1" s="66"/>
      <c r="F1" s="67"/>
      <c r="H1" s="68"/>
      <c r="I1" s="67"/>
      <c r="N1" s="69"/>
      <c r="O1" s="70"/>
      <c r="P1" s="70"/>
      <c r="Q1" s="70"/>
      <c r="R1" s="71"/>
      <c r="S1" s="70"/>
      <c r="T1" s="70"/>
      <c r="U1" s="70"/>
      <c r="V1" s="71"/>
      <c r="W1" s="70"/>
      <c r="X1" s="70"/>
      <c r="Y1" s="70"/>
      <c r="AA1" s="72"/>
    </row>
    <row r="2" spans="1:28" s="30" customFormat="1" ht="54" customHeight="1">
      <c r="A2" s="73" t="s">
        <v>1</v>
      </c>
      <c r="B2" s="73" t="s">
        <v>2</v>
      </c>
      <c r="C2" s="74" t="s">
        <v>3</v>
      </c>
      <c r="D2" s="4" t="s">
        <v>155</v>
      </c>
      <c r="E2" s="75" t="s">
        <v>5</v>
      </c>
      <c r="F2" s="4" t="s">
        <v>6</v>
      </c>
      <c r="G2" s="4" t="s">
        <v>7</v>
      </c>
      <c r="H2" s="76" t="s">
        <v>8</v>
      </c>
      <c r="I2" s="77" t="s">
        <v>9</v>
      </c>
      <c r="J2" s="4" t="s">
        <v>10</v>
      </c>
      <c r="K2" s="4"/>
      <c r="L2" s="4" t="s">
        <v>11</v>
      </c>
      <c r="M2" s="4" t="s">
        <v>12</v>
      </c>
      <c r="N2" s="78"/>
      <c r="O2" s="417" t="s">
        <v>156</v>
      </c>
      <c r="P2" s="418"/>
      <c r="Q2" s="418"/>
      <c r="R2" s="418"/>
      <c r="S2" s="418"/>
      <c r="T2" s="418"/>
      <c r="U2" s="418"/>
      <c r="V2" s="418"/>
      <c r="W2" s="418"/>
      <c r="X2" s="418"/>
      <c r="Y2" s="419"/>
      <c r="Z2" s="79" t="s">
        <v>13</v>
      </c>
      <c r="AA2" s="80" t="s">
        <v>157</v>
      </c>
      <c r="AB2" s="4" t="s">
        <v>158</v>
      </c>
    </row>
    <row r="3" spans="1:28" s="30" customFormat="1" ht="12.75" hidden="1">
      <c r="A3" s="73"/>
      <c r="B3" s="73"/>
      <c r="C3" s="74"/>
      <c r="D3" s="4"/>
      <c r="E3" s="4"/>
      <c r="F3" s="75"/>
      <c r="G3" s="4"/>
      <c r="H3" s="81"/>
      <c r="I3" s="4"/>
      <c r="J3" s="4"/>
      <c r="K3" s="4"/>
      <c r="L3" s="4"/>
      <c r="M3" s="79"/>
      <c r="N3" s="82"/>
      <c r="O3" s="83" t="s">
        <v>15</v>
      </c>
      <c r="P3" s="83" t="s">
        <v>15</v>
      </c>
      <c r="Q3" s="83" t="s">
        <v>15</v>
      </c>
      <c r="R3" s="84"/>
      <c r="S3" s="84" t="s">
        <v>16</v>
      </c>
      <c r="T3" s="84" t="s">
        <v>16</v>
      </c>
      <c r="U3" s="84" t="s">
        <v>16</v>
      </c>
      <c r="V3" s="84"/>
      <c r="W3" s="84" t="s">
        <v>17</v>
      </c>
      <c r="X3" s="84" t="s">
        <v>17</v>
      </c>
      <c r="Y3" s="84" t="s">
        <v>17</v>
      </c>
      <c r="Z3" s="79"/>
      <c r="AA3" s="80"/>
      <c r="AB3" s="4"/>
    </row>
    <row r="4" spans="1:28" s="91" customFormat="1" ht="12.75" hidden="1">
      <c r="A4" s="85"/>
      <c r="B4" s="85"/>
      <c r="C4" s="86"/>
      <c r="D4" s="32"/>
      <c r="E4" s="32"/>
      <c r="F4" s="87"/>
      <c r="G4" s="32"/>
      <c r="H4" s="88"/>
      <c r="I4" s="32"/>
      <c r="J4" s="32"/>
      <c r="K4" s="32"/>
      <c r="L4" s="89" t="s">
        <v>20</v>
      </c>
      <c r="M4" s="89"/>
      <c r="N4" s="87"/>
      <c r="O4" s="87">
        <v>0.23</v>
      </c>
      <c r="P4" s="87">
        <v>0.08</v>
      </c>
      <c r="Q4" s="87"/>
      <c r="R4" s="87"/>
      <c r="S4" s="87">
        <v>0.23</v>
      </c>
      <c r="T4" s="87">
        <v>0.08</v>
      </c>
      <c r="U4" s="87"/>
      <c r="V4" s="87"/>
      <c r="W4" s="87">
        <v>0.23</v>
      </c>
      <c r="X4" s="87">
        <v>0.08</v>
      </c>
      <c r="Y4" s="87"/>
      <c r="Z4" s="90"/>
      <c r="AA4" s="80"/>
      <c r="AB4" s="32"/>
    </row>
    <row r="5" spans="1:28" s="30" customFormat="1" ht="25.5" hidden="1">
      <c r="A5" s="73"/>
      <c r="B5" s="73"/>
      <c r="C5" s="74"/>
      <c r="D5" s="4"/>
      <c r="E5" s="4"/>
      <c r="F5" s="75"/>
      <c r="G5" s="4"/>
      <c r="H5" s="81"/>
      <c r="I5" s="75"/>
      <c r="J5" s="4"/>
      <c r="K5" s="4"/>
      <c r="L5" s="4"/>
      <c r="M5" s="4"/>
      <c r="N5" s="78" t="s">
        <v>21</v>
      </c>
      <c r="O5" s="83" t="s">
        <v>159</v>
      </c>
      <c r="P5" s="83" t="s">
        <v>22</v>
      </c>
      <c r="Q5" s="83" t="s">
        <v>22</v>
      </c>
      <c r="R5" s="92" t="s">
        <v>21</v>
      </c>
      <c r="S5" s="83" t="s">
        <v>159</v>
      </c>
      <c r="T5" s="83" t="s">
        <v>22</v>
      </c>
      <c r="U5" s="83" t="s">
        <v>22</v>
      </c>
      <c r="V5" s="92" t="s">
        <v>21</v>
      </c>
      <c r="W5" s="83" t="s">
        <v>159</v>
      </c>
      <c r="X5" s="83" t="s">
        <v>22</v>
      </c>
      <c r="Y5" s="83" t="s">
        <v>22</v>
      </c>
      <c r="Z5" s="79"/>
      <c r="AA5" s="80"/>
      <c r="AB5" s="4"/>
    </row>
    <row r="6" spans="1:28" ht="20.25">
      <c r="A6" s="93" t="s">
        <v>0</v>
      </c>
      <c r="AA6" s="95"/>
      <c r="AB6" s="95"/>
    </row>
    <row r="7" spans="1:28" s="30" customFormat="1" ht="38.25">
      <c r="A7" s="96" t="s">
        <v>30</v>
      </c>
      <c r="B7" s="73"/>
      <c r="C7" s="49" t="s">
        <v>46</v>
      </c>
      <c r="D7" s="4" t="s">
        <v>118</v>
      </c>
      <c r="E7" s="96"/>
      <c r="F7" s="49" t="s">
        <v>46</v>
      </c>
      <c r="G7" s="97" t="s">
        <v>161</v>
      </c>
      <c r="H7" s="81"/>
      <c r="I7" s="96"/>
      <c r="J7" s="97" t="s">
        <v>27</v>
      </c>
      <c r="K7" s="49"/>
      <c r="L7" s="49" t="s">
        <v>28</v>
      </c>
      <c r="M7" s="49" t="s">
        <v>29</v>
      </c>
      <c r="N7" s="98"/>
      <c r="O7" s="99">
        <v>0</v>
      </c>
      <c r="P7" s="99" t="e">
        <f>O7+O7*'[1]4letni DIR REMONTY '!#REF!</f>
        <v>#REF!</v>
      </c>
      <c r="Q7" s="99">
        <v>0</v>
      </c>
      <c r="R7" s="100"/>
      <c r="S7" s="99"/>
      <c r="T7" s="99" t="e">
        <f>S7+S7*'[1]4letni DIR REMONTY '!#REF!</f>
        <v>#REF!</v>
      </c>
      <c r="U7" s="99" t="e">
        <f>ROUND(T7,-2)</f>
        <v>#REF!</v>
      </c>
      <c r="V7" s="100"/>
      <c r="W7" s="99"/>
      <c r="X7" s="99" t="e">
        <f>W7+W7*'[1]4letni DIR REMONTY '!#REF!</f>
        <v>#REF!</v>
      </c>
      <c r="Y7" s="99" t="e">
        <f>ROUND(X7,-2)</f>
        <v>#REF!</v>
      </c>
      <c r="Z7" s="44"/>
      <c r="AA7" s="80">
        <v>30800</v>
      </c>
      <c r="AB7" s="4"/>
    </row>
    <row r="8" spans="1:28" s="30" customFormat="1" ht="25.5">
      <c r="A8" s="96"/>
      <c r="B8" s="73"/>
      <c r="C8" s="49"/>
      <c r="D8" s="4" t="s">
        <v>40</v>
      </c>
      <c r="E8" s="96"/>
      <c r="F8" s="49"/>
      <c r="G8" s="47" t="s">
        <v>47</v>
      </c>
      <c r="H8" s="81"/>
      <c r="I8" s="96"/>
      <c r="J8" s="97" t="s">
        <v>27</v>
      </c>
      <c r="K8" s="49"/>
      <c r="L8" s="49"/>
      <c r="M8" s="49" t="s">
        <v>29</v>
      </c>
      <c r="N8" s="98"/>
      <c r="O8" s="99"/>
      <c r="P8" s="99"/>
      <c r="Q8" s="99"/>
      <c r="R8" s="100"/>
      <c r="S8" s="99"/>
      <c r="T8" s="99"/>
      <c r="U8" s="99"/>
      <c r="V8" s="100"/>
      <c r="W8" s="99"/>
      <c r="X8" s="99"/>
      <c r="Y8" s="99"/>
      <c r="Z8" s="44" t="s">
        <v>41</v>
      </c>
      <c r="AA8" s="80">
        <v>22000</v>
      </c>
      <c r="AB8" s="4"/>
    </row>
    <row r="9" spans="1:28" s="102" customFormat="1" ht="38.25">
      <c r="A9" s="96" t="s">
        <v>31</v>
      </c>
      <c r="B9" s="73" t="s">
        <v>130</v>
      </c>
      <c r="C9" s="74" t="s">
        <v>81</v>
      </c>
      <c r="D9" s="4" t="s">
        <v>131</v>
      </c>
      <c r="E9" s="75" t="s">
        <v>34</v>
      </c>
      <c r="F9" s="4" t="s">
        <v>133</v>
      </c>
      <c r="G9" s="4" t="s">
        <v>162</v>
      </c>
      <c r="H9" s="81"/>
      <c r="I9" s="96"/>
      <c r="J9" s="4" t="s">
        <v>27</v>
      </c>
      <c r="K9" s="4"/>
      <c r="L9" s="4" t="s">
        <v>28</v>
      </c>
      <c r="M9" s="49" t="s">
        <v>29</v>
      </c>
      <c r="N9" s="98"/>
      <c r="O9" s="99">
        <v>12000</v>
      </c>
      <c r="P9" s="99" t="e">
        <f>O9+O9*'[1]4letni DIR REMONTY '!#REF!</f>
        <v>#REF!</v>
      </c>
      <c r="Q9" s="99">
        <v>0</v>
      </c>
      <c r="R9" s="99"/>
      <c r="S9" s="99"/>
      <c r="T9" s="99" t="e">
        <f>S9+S9*'[1]4letni DIR REMONTY '!#REF!</f>
        <v>#REF!</v>
      </c>
      <c r="U9" s="99" t="e">
        <f>ROUND(T9,-2)</f>
        <v>#REF!</v>
      </c>
      <c r="V9" s="99"/>
      <c r="W9" s="99"/>
      <c r="X9" s="99" t="e">
        <f>W9+W9*'[1]4letni DIR REMONTY '!#REF!</f>
        <v>#REF!</v>
      </c>
      <c r="Y9" s="99" t="e">
        <f>ROUND(X9,-2)</f>
        <v>#REF!</v>
      </c>
      <c r="Z9" s="44"/>
      <c r="AA9" s="101">
        <v>14800</v>
      </c>
      <c r="AB9" s="49"/>
    </row>
    <row r="10" spans="1:28" s="102" customFormat="1" ht="71.25">
      <c r="A10" s="96"/>
      <c r="B10" s="73"/>
      <c r="C10" s="74"/>
      <c r="D10" s="10" t="s">
        <v>53</v>
      </c>
      <c r="E10" s="75"/>
      <c r="F10" s="4"/>
      <c r="G10" s="10" t="s">
        <v>56</v>
      </c>
      <c r="H10" s="81"/>
      <c r="I10" s="96"/>
      <c r="J10" s="4" t="s">
        <v>27</v>
      </c>
      <c r="K10" s="4"/>
      <c r="L10" s="4" t="s">
        <v>28</v>
      </c>
      <c r="M10" s="49" t="s">
        <v>29</v>
      </c>
      <c r="N10" s="98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44"/>
      <c r="AA10" s="101">
        <v>37000</v>
      </c>
      <c r="AB10" s="49"/>
    </row>
    <row r="11" spans="1:28" s="30" customFormat="1" ht="51">
      <c r="A11" s="96" t="s">
        <v>34</v>
      </c>
      <c r="B11" s="73" t="s">
        <v>163</v>
      </c>
      <c r="C11" s="74" t="s">
        <v>164</v>
      </c>
      <c r="D11" s="4" t="s">
        <v>65</v>
      </c>
      <c r="E11" s="75" t="s">
        <v>34</v>
      </c>
      <c r="F11" s="4" t="s">
        <v>35</v>
      </c>
      <c r="G11" s="4" t="s">
        <v>165</v>
      </c>
      <c r="H11" s="81"/>
      <c r="I11" s="75"/>
      <c r="J11" s="4" t="s">
        <v>27</v>
      </c>
      <c r="K11" s="4"/>
      <c r="L11" s="4" t="s">
        <v>140</v>
      </c>
      <c r="M11" s="4" t="s">
        <v>36</v>
      </c>
      <c r="N11" s="4"/>
      <c r="O11" s="99"/>
      <c r="P11" s="99" t="e">
        <f>O11+O11*'[1]4letni DIR REMONTY '!#REF!</f>
        <v>#REF!</v>
      </c>
      <c r="Q11" s="99" t="e">
        <f>ROUND(P11,-2)</f>
        <v>#REF!</v>
      </c>
      <c r="R11" s="100"/>
      <c r="S11" s="99">
        <v>0</v>
      </c>
      <c r="T11" s="99" t="e">
        <f>S11+S11*'[1]4letni DIR REMONTY '!#REF!</f>
        <v>#REF!</v>
      </c>
      <c r="U11" s="99">
        <v>0</v>
      </c>
      <c r="V11" s="99"/>
      <c r="W11" s="99"/>
      <c r="X11" s="99" t="e">
        <f>W11+W11*'[1]4letni DIR REMONTY '!#REF!</f>
        <v>#REF!</v>
      </c>
      <c r="Y11" s="99" t="e">
        <f>ROUND(X11,-2)</f>
        <v>#REF!</v>
      </c>
      <c r="Z11" s="79" t="s">
        <v>207</v>
      </c>
      <c r="AA11" s="80">
        <v>108000</v>
      </c>
      <c r="AB11" s="4"/>
    </row>
    <row r="12" spans="1:28" s="30" customFormat="1" ht="51">
      <c r="A12" s="96" t="s">
        <v>37</v>
      </c>
      <c r="B12" s="73" t="s">
        <v>163</v>
      </c>
      <c r="C12" s="74" t="s">
        <v>164</v>
      </c>
      <c r="D12" s="4" t="s">
        <v>70</v>
      </c>
      <c r="E12" s="75" t="s">
        <v>34</v>
      </c>
      <c r="F12" s="4" t="s">
        <v>35</v>
      </c>
      <c r="G12" s="4" t="s">
        <v>166</v>
      </c>
      <c r="H12" s="81"/>
      <c r="I12" s="75"/>
      <c r="J12" s="4" t="s">
        <v>27</v>
      </c>
      <c r="K12" s="4"/>
      <c r="L12" s="4" t="s">
        <v>140</v>
      </c>
      <c r="M12" s="4" t="s">
        <v>36</v>
      </c>
      <c r="N12" s="4"/>
      <c r="O12" s="99"/>
      <c r="P12" s="99" t="e">
        <f>O12+O12*'[1]4letni DIR REMONTY '!#REF!</f>
        <v>#REF!</v>
      </c>
      <c r="Q12" s="99" t="e">
        <f>ROUND(P12,-2)</f>
        <v>#REF!</v>
      </c>
      <c r="R12" s="100"/>
      <c r="S12" s="99">
        <v>0</v>
      </c>
      <c r="T12" s="99" t="e">
        <f>S12+S12*'[1]4letni DIR REMONTY '!#REF!</f>
        <v>#REF!</v>
      </c>
      <c r="U12" s="99">
        <v>0</v>
      </c>
      <c r="V12" s="99"/>
      <c r="W12" s="99"/>
      <c r="X12" s="99" t="e">
        <f>W12+W12*'[1]4letni DIR REMONTY '!#REF!</f>
        <v>#REF!</v>
      </c>
      <c r="Y12" s="99" t="e">
        <f>ROUND(X12,-2)</f>
        <v>#REF!</v>
      </c>
      <c r="Z12" s="79" t="s">
        <v>207</v>
      </c>
      <c r="AA12" s="80">
        <v>108000</v>
      </c>
      <c r="AB12" s="4"/>
    </row>
    <row r="13" spans="1:28" s="30" customFormat="1" ht="51">
      <c r="A13" s="96" t="s">
        <v>38</v>
      </c>
      <c r="B13" s="73" t="s">
        <v>68</v>
      </c>
      <c r="C13" s="74" t="s">
        <v>69</v>
      </c>
      <c r="D13" s="4" t="s">
        <v>70</v>
      </c>
      <c r="E13" s="75" t="s">
        <v>52</v>
      </c>
      <c r="F13" s="4" t="s">
        <v>71</v>
      </c>
      <c r="G13" s="4" t="s">
        <v>167</v>
      </c>
      <c r="H13" s="73"/>
      <c r="I13" s="96"/>
      <c r="J13" s="4" t="s">
        <v>27</v>
      </c>
      <c r="K13" s="4"/>
      <c r="L13" s="4" t="s">
        <v>139</v>
      </c>
      <c r="M13" s="4" t="s">
        <v>148</v>
      </c>
      <c r="N13" s="4"/>
      <c r="O13" s="99">
        <v>0</v>
      </c>
      <c r="P13" s="99" t="e">
        <f>O13+O13*'[1]4letni DIR REMONTY '!#REF!</f>
        <v>#REF!</v>
      </c>
      <c r="Q13" s="99" t="e">
        <f>ROUND(P13,-2)</f>
        <v>#REF!</v>
      </c>
      <c r="R13" s="4"/>
      <c r="S13" s="99">
        <v>0</v>
      </c>
      <c r="T13" s="99" t="e">
        <f>S13+S13*'[1]4letni DIR REMONTY '!#REF!</f>
        <v>#REF!</v>
      </c>
      <c r="U13" s="99">
        <v>0</v>
      </c>
      <c r="V13" s="99"/>
      <c r="W13" s="99">
        <v>0</v>
      </c>
      <c r="X13" s="99" t="e">
        <f>W13+W13*'[1]4letni DIR REMONTY '!#REF!</f>
        <v>#REF!</v>
      </c>
      <c r="Y13" s="99">
        <v>0</v>
      </c>
      <c r="Z13" s="79"/>
      <c r="AA13" s="80">
        <f>864000+1296000</f>
        <v>2160000</v>
      </c>
      <c r="AB13" s="4"/>
    </row>
    <row r="14" spans="1:28" s="30" customFormat="1" ht="51">
      <c r="A14" s="96" t="s">
        <v>43</v>
      </c>
      <c r="B14" s="73" t="s">
        <v>68</v>
      </c>
      <c r="C14" s="74" t="s">
        <v>69</v>
      </c>
      <c r="D14" s="4" t="s">
        <v>70</v>
      </c>
      <c r="E14" s="75" t="s">
        <v>51</v>
      </c>
      <c r="F14" s="4" t="s">
        <v>71</v>
      </c>
      <c r="G14" s="4" t="s">
        <v>168</v>
      </c>
      <c r="H14" s="73"/>
      <c r="I14" s="96"/>
      <c r="J14" s="4" t="s">
        <v>27</v>
      </c>
      <c r="K14" s="4"/>
      <c r="L14" s="4" t="s">
        <v>139</v>
      </c>
      <c r="M14" s="4" t="s">
        <v>148</v>
      </c>
      <c r="N14" s="4"/>
      <c r="O14" s="99">
        <v>0</v>
      </c>
      <c r="P14" s="99" t="e">
        <f>O14+O14*'[1]4letni DIR REMONTY '!#REF!</f>
        <v>#REF!</v>
      </c>
      <c r="Q14" s="99" t="e">
        <f>ROUND(P14,-2)</f>
        <v>#REF!</v>
      </c>
      <c r="R14" s="4"/>
      <c r="S14" s="103"/>
      <c r="T14" s="99" t="e">
        <f>S14+S14*'[1]4letni DIR REMONTY '!#REF!</f>
        <v>#REF!</v>
      </c>
      <c r="U14" s="99" t="e">
        <f>ROUND(T14,-2)</f>
        <v>#REF!</v>
      </c>
      <c r="V14" s="99"/>
      <c r="W14" s="99">
        <v>0</v>
      </c>
      <c r="X14" s="99" t="e">
        <f>W14+W14*'[1]4letni DIR REMONTY '!#REF!</f>
        <v>#REF!</v>
      </c>
      <c r="Y14" s="99">
        <v>0</v>
      </c>
      <c r="Z14" s="79"/>
      <c r="AA14" s="80">
        <v>1026000</v>
      </c>
      <c r="AB14" s="4"/>
    </row>
    <row r="15" spans="1:28" s="30" customFormat="1" ht="38.25">
      <c r="A15" s="96" t="s">
        <v>45</v>
      </c>
      <c r="B15" s="104"/>
      <c r="C15" s="49" t="s">
        <v>46</v>
      </c>
      <c r="D15" s="4" t="s">
        <v>169</v>
      </c>
      <c r="E15" s="105"/>
      <c r="F15" s="4" t="s">
        <v>170</v>
      </c>
      <c r="G15" s="106" t="s">
        <v>171</v>
      </c>
      <c r="H15" s="107"/>
      <c r="I15" s="96"/>
      <c r="J15" s="106" t="s">
        <v>27</v>
      </c>
      <c r="K15" s="49"/>
      <c r="L15" s="49" t="s">
        <v>50</v>
      </c>
      <c r="M15" s="49" t="s">
        <v>29</v>
      </c>
      <c r="N15" s="98"/>
      <c r="O15" s="98">
        <v>0</v>
      </c>
      <c r="P15" s="99" t="e">
        <f>O15+O15*'[1]4letni DIR REMONTY '!#REF!</f>
        <v>#REF!</v>
      </c>
      <c r="Q15" s="99">
        <v>0</v>
      </c>
      <c r="R15" s="98"/>
      <c r="S15" s="98"/>
      <c r="T15" s="99" t="e">
        <f>S15+S15*'[1]4letni DIR REMONTY '!#REF!</f>
        <v>#REF!</v>
      </c>
      <c r="U15" s="99" t="e">
        <f>ROUND(T15,-2)</f>
        <v>#REF!</v>
      </c>
      <c r="V15" s="98"/>
      <c r="W15" s="98"/>
      <c r="X15" s="99" t="e">
        <f>W15+W15*'[1]4letni DIR REMONTY '!#REF!</f>
        <v>#REF!</v>
      </c>
      <c r="Y15" s="99" t="e">
        <f>ROUND(X15,-2)</f>
        <v>#REF!</v>
      </c>
      <c r="Z15" s="108"/>
      <c r="AA15" s="80">
        <v>6200</v>
      </c>
      <c r="AB15" s="4"/>
    </row>
    <row r="16" spans="1:28" ht="20.25">
      <c r="A16" s="93" t="s">
        <v>96</v>
      </c>
      <c r="AA16" s="95"/>
      <c r="AB16" s="95"/>
    </row>
    <row r="17" spans="1:28" s="30" customFormat="1" ht="38.25">
      <c r="A17" s="96" t="s">
        <v>24</v>
      </c>
      <c r="B17" s="104"/>
      <c r="C17" s="49" t="s">
        <v>172</v>
      </c>
      <c r="D17" s="49" t="s">
        <v>121</v>
      </c>
      <c r="E17" s="4" t="s">
        <v>160</v>
      </c>
      <c r="F17" s="105"/>
      <c r="G17" s="4" t="s">
        <v>173</v>
      </c>
      <c r="H17" s="81"/>
      <c r="I17" s="96"/>
      <c r="J17" s="109" t="s">
        <v>102</v>
      </c>
      <c r="K17" s="49"/>
      <c r="L17" s="110" t="s">
        <v>28</v>
      </c>
      <c r="M17" s="4" t="s">
        <v>29</v>
      </c>
      <c r="N17" s="98"/>
      <c r="O17" s="98">
        <v>0</v>
      </c>
      <c r="P17" s="99">
        <f>O17+O17*$O$4</f>
        <v>0</v>
      </c>
      <c r="Q17" s="99">
        <f>ROUND(P17,-2)</f>
        <v>0</v>
      </c>
      <c r="R17" s="98"/>
      <c r="S17" s="98">
        <v>0</v>
      </c>
      <c r="T17" s="99">
        <f>S17+S17*$O$4</f>
        <v>0</v>
      </c>
      <c r="U17" s="99">
        <f>ROUND(T17,-2)</f>
        <v>0</v>
      </c>
      <c r="V17" s="98"/>
      <c r="W17" s="98">
        <v>0</v>
      </c>
      <c r="X17" s="99">
        <f>W17+W17*$O$4</f>
        <v>0</v>
      </c>
      <c r="Y17" s="99">
        <f>ROUND(X17,-2)</f>
        <v>0</v>
      </c>
      <c r="Z17" s="108"/>
      <c r="AA17" s="80">
        <v>64000</v>
      </c>
      <c r="AB17" s="4"/>
    </row>
    <row r="18" spans="1:28" s="30" customFormat="1" ht="38.25">
      <c r="A18" s="96" t="s">
        <v>30</v>
      </c>
      <c r="B18" s="111"/>
      <c r="C18" s="49" t="s">
        <v>121</v>
      </c>
      <c r="D18" s="49" t="s">
        <v>121</v>
      </c>
      <c r="E18" s="4" t="s">
        <v>160</v>
      </c>
      <c r="F18" s="96"/>
      <c r="G18" s="112" t="s">
        <v>174</v>
      </c>
      <c r="H18" s="113"/>
      <c r="I18" s="114"/>
      <c r="J18" s="112" t="s">
        <v>27</v>
      </c>
      <c r="K18" s="49"/>
      <c r="L18" s="49" t="s">
        <v>28</v>
      </c>
      <c r="M18" s="4" t="s">
        <v>29</v>
      </c>
      <c r="N18" s="80"/>
      <c r="O18" s="99">
        <v>0</v>
      </c>
      <c r="P18" s="99">
        <f>O18+O18*$O$4</f>
        <v>0</v>
      </c>
      <c r="Q18" s="99">
        <f>ROUND(P18,-2)</f>
        <v>0</v>
      </c>
      <c r="R18" s="98"/>
      <c r="S18" s="99">
        <v>0</v>
      </c>
      <c r="T18" s="99">
        <f>S18+S18*$O$4</f>
        <v>0</v>
      </c>
      <c r="U18" s="99">
        <f>ROUND(T18,-2)</f>
        <v>0</v>
      </c>
      <c r="V18" s="100"/>
      <c r="W18" s="99">
        <v>0</v>
      </c>
      <c r="X18" s="99">
        <f>W18+W18*$O$4</f>
        <v>0</v>
      </c>
      <c r="Y18" s="99">
        <f>ROUND(X18,-2)</f>
        <v>0</v>
      </c>
      <c r="Z18" s="44"/>
      <c r="AA18" s="80">
        <v>307500</v>
      </c>
      <c r="AB18" s="4"/>
    </row>
    <row r="19" spans="1:28" s="117" customFormat="1" ht="76.5">
      <c r="A19" s="96" t="s">
        <v>31</v>
      </c>
      <c r="B19" s="73" t="s">
        <v>163</v>
      </c>
      <c r="C19" s="74" t="s">
        <v>164</v>
      </c>
      <c r="D19" s="4" t="s">
        <v>35</v>
      </c>
      <c r="E19" s="4" t="s">
        <v>49</v>
      </c>
      <c r="F19" s="75" t="s">
        <v>31</v>
      </c>
      <c r="G19" s="4" t="s">
        <v>175</v>
      </c>
      <c r="H19" s="81"/>
      <c r="I19" s="75"/>
      <c r="J19" s="4" t="s">
        <v>176</v>
      </c>
      <c r="K19" s="4"/>
      <c r="L19" s="4" t="s">
        <v>28</v>
      </c>
      <c r="M19" s="49" t="s">
        <v>36</v>
      </c>
      <c r="N19" s="78"/>
      <c r="O19" s="99">
        <v>0</v>
      </c>
      <c r="P19" s="99">
        <f>O19+O19*$O$4</f>
        <v>0</v>
      </c>
      <c r="Q19" s="99">
        <v>0</v>
      </c>
      <c r="R19" s="98"/>
      <c r="S19" s="99">
        <v>0</v>
      </c>
      <c r="T19" s="99">
        <f>S19+S19*$O$4</f>
        <v>0</v>
      </c>
      <c r="U19" s="99">
        <f>ROUND(T19,-2)</f>
        <v>0</v>
      </c>
      <c r="V19" s="115"/>
      <c r="W19" s="99">
        <v>0</v>
      </c>
      <c r="X19" s="99">
        <f>W19+W19*$O$4</f>
        <v>0</v>
      </c>
      <c r="Y19" s="99">
        <f>ROUND(X19,-2)</f>
        <v>0</v>
      </c>
      <c r="Z19" s="79"/>
      <c r="AA19" s="116">
        <v>246000</v>
      </c>
      <c r="AB19" s="110"/>
    </row>
    <row r="20" spans="1:28" s="30" customFormat="1" ht="63.75">
      <c r="A20" s="96" t="s">
        <v>34</v>
      </c>
      <c r="B20" s="111" t="s">
        <v>63</v>
      </c>
      <c r="C20" s="49" t="s">
        <v>64</v>
      </c>
      <c r="D20" s="4" t="s">
        <v>66</v>
      </c>
      <c r="E20" s="4" t="s">
        <v>65</v>
      </c>
      <c r="F20" s="96" t="s">
        <v>24</v>
      </c>
      <c r="G20" s="49" t="s">
        <v>177</v>
      </c>
      <c r="H20" s="73"/>
      <c r="I20" s="96"/>
      <c r="J20" s="109" t="s">
        <v>102</v>
      </c>
      <c r="K20" s="49"/>
      <c r="L20" s="4" t="s">
        <v>44</v>
      </c>
      <c r="M20" s="4" t="s">
        <v>29</v>
      </c>
      <c r="N20" s="80"/>
      <c r="O20" s="99">
        <v>0</v>
      </c>
      <c r="P20" s="99">
        <f>O20+O20*$O$4</f>
        <v>0</v>
      </c>
      <c r="Q20" s="99">
        <v>0</v>
      </c>
      <c r="R20" s="118"/>
      <c r="S20" s="98">
        <v>0</v>
      </c>
      <c r="T20" s="99">
        <f>S20+S20*$O$4</f>
        <v>0</v>
      </c>
      <c r="U20" s="99">
        <v>0</v>
      </c>
      <c r="V20" s="118"/>
      <c r="W20" s="99">
        <v>0</v>
      </c>
      <c r="X20" s="99">
        <f>W20+W20*$O$4</f>
        <v>0</v>
      </c>
      <c r="Y20" s="99">
        <f>ROUND(X20,-2)</f>
        <v>0</v>
      </c>
      <c r="Z20" s="44"/>
      <c r="AA20" s="80">
        <v>540000</v>
      </c>
      <c r="AB20" s="4"/>
    </row>
    <row r="21" spans="1:28" s="30" customFormat="1" ht="48" customHeight="1">
      <c r="A21" s="96" t="s">
        <v>37</v>
      </c>
      <c r="B21" s="111" t="s">
        <v>63</v>
      </c>
      <c r="C21" s="49" t="s">
        <v>64</v>
      </c>
      <c r="D21" s="4" t="s">
        <v>66</v>
      </c>
      <c r="E21" s="4" t="s">
        <v>65</v>
      </c>
      <c r="F21" s="96" t="s">
        <v>24</v>
      </c>
      <c r="G21" s="49" t="s">
        <v>178</v>
      </c>
      <c r="H21" s="73"/>
      <c r="I21" s="96"/>
      <c r="J21" s="49" t="s">
        <v>27</v>
      </c>
      <c r="K21" s="49"/>
      <c r="L21" s="4" t="s">
        <v>44</v>
      </c>
      <c r="M21" s="4" t="s">
        <v>29</v>
      </c>
      <c r="N21" s="80"/>
      <c r="O21" s="99">
        <v>0</v>
      </c>
      <c r="P21" s="99">
        <f>O21+O21*$P$4</f>
        <v>0</v>
      </c>
      <c r="Q21" s="99">
        <f>ROUND(P21,-2)</f>
        <v>0</v>
      </c>
      <c r="R21" s="118"/>
      <c r="S21" s="98">
        <v>0</v>
      </c>
      <c r="T21" s="99">
        <f>S21+S21*$P$4</f>
        <v>0</v>
      </c>
      <c r="U21" s="99">
        <f>ROUND(T21,-2)</f>
        <v>0</v>
      </c>
      <c r="V21" s="118"/>
      <c r="W21" s="99">
        <v>0</v>
      </c>
      <c r="X21" s="99">
        <f>W21+W21*$P$4</f>
        <v>0</v>
      </c>
      <c r="Y21" s="99">
        <v>0</v>
      </c>
      <c r="Z21" s="44"/>
      <c r="AA21" s="80">
        <v>8100000</v>
      </c>
      <c r="AB21" s="4"/>
    </row>
    <row r="22" spans="1:28" s="30" customFormat="1" ht="38.25">
      <c r="A22" s="96" t="s">
        <v>38</v>
      </c>
      <c r="B22" s="111" t="s">
        <v>63</v>
      </c>
      <c r="C22" s="49" t="s">
        <v>64</v>
      </c>
      <c r="D22" s="4" t="s">
        <v>66</v>
      </c>
      <c r="E22" s="4" t="s">
        <v>65</v>
      </c>
      <c r="F22" s="96" t="s">
        <v>37</v>
      </c>
      <c r="G22" s="49" t="s">
        <v>179</v>
      </c>
      <c r="H22" s="73"/>
      <c r="I22" s="96"/>
      <c r="J22" s="49" t="s">
        <v>27</v>
      </c>
      <c r="K22" s="49"/>
      <c r="L22" s="4" t="s">
        <v>44</v>
      </c>
      <c r="M22" s="4" t="s">
        <v>29</v>
      </c>
      <c r="N22" s="49"/>
      <c r="O22" s="99">
        <v>0</v>
      </c>
      <c r="P22" s="99">
        <f>O22+O22*$O$4</f>
        <v>0</v>
      </c>
      <c r="Q22" s="99">
        <f>ROUND(P22,-2)</f>
        <v>0</v>
      </c>
      <c r="R22" s="118"/>
      <c r="S22" s="98">
        <v>0</v>
      </c>
      <c r="T22" s="99">
        <f>S22+S22*$O$4</f>
        <v>0</v>
      </c>
      <c r="U22" s="99">
        <v>0</v>
      </c>
      <c r="V22" s="98"/>
      <c r="W22" s="99">
        <v>0</v>
      </c>
      <c r="X22" s="99">
        <f>W22+W22*$O$4</f>
        <v>0</v>
      </c>
      <c r="Y22" s="99">
        <f>ROUND(X22,-2)</f>
        <v>0</v>
      </c>
      <c r="Z22" s="44"/>
      <c r="AA22" s="80">
        <v>184500</v>
      </c>
      <c r="AB22" s="4"/>
    </row>
    <row r="23" spans="1:28" s="30" customFormat="1" ht="51">
      <c r="A23" s="96" t="s">
        <v>43</v>
      </c>
      <c r="B23" s="104"/>
      <c r="C23" s="49" t="s">
        <v>172</v>
      </c>
      <c r="D23" s="4" t="s">
        <v>170</v>
      </c>
      <c r="E23" s="4" t="s">
        <v>180</v>
      </c>
      <c r="F23" s="105"/>
      <c r="G23" s="112" t="s">
        <v>181</v>
      </c>
      <c r="H23" s="113"/>
      <c r="I23" s="114"/>
      <c r="J23" s="109" t="s">
        <v>102</v>
      </c>
      <c r="K23" s="49"/>
      <c r="L23" s="49" t="s">
        <v>50</v>
      </c>
      <c r="M23" s="4" t="s">
        <v>29</v>
      </c>
      <c r="N23" s="49"/>
      <c r="O23" s="98">
        <v>0</v>
      </c>
      <c r="P23" s="99">
        <f>O23+O23*$O$4</f>
        <v>0</v>
      </c>
      <c r="Q23" s="99">
        <f aca="true" t="shared" si="0" ref="Q23:Q28">ROUND(P23,-2)</f>
        <v>0</v>
      </c>
      <c r="R23" s="118"/>
      <c r="S23" s="98">
        <v>0</v>
      </c>
      <c r="T23" s="99">
        <f>S23+S23*$O$4</f>
        <v>0</v>
      </c>
      <c r="U23" s="99">
        <v>0</v>
      </c>
      <c r="V23" s="98"/>
      <c r="W23" s="99">
        <v>0</v>
      </c>
      <c r="X23" s="99">
        <f>W23+W23*$O$4</f>
        <v>0</v>
      </c>
      <c r="Y23" s="99">
        <f>ROUND(X23,-2)</f>
        <v>0</v>
      </c>
      <c r="Z23" s="108"/>
      <c r="AA23" s="80">
        <v>9200</v>
      </c>
      <c r="AB23" s="4"/>
    </row>
    <row r="24" spans="1:28" s="30" customFormat="1" ht="51">
      <c r="A24" s="96" t="s">
        <v>45</v>
      </c>
      <c r="B24" s="111"/>
      <c r="C24" s="49" t="s">
        <v>121</v>
      </c>
      <c r="D24" s="4" t="s">
        <v>170</v>
      </c>
      <c r="E24" s="4" t="s">
        <v>182</v>
      </c>
      <c r="F24" s="96"/>
      <c r="G24" s="112" t="s">
        <v>183</v>
      </c>
      <c r="H24" s="113"/>
      <c r="I24" s="114"/>
      <c r="J24" s="112" t="s">
        <v>27</v>
      </c>
      <c r="K24" s="49"/>
      <c r="L24" s="49" t="s">
        <v>50</v>
      </c>
      <c r="M24" s="4" t="s">
        <v>29</v>
      </c>
      <c r="N24" s="49"/>
      <c r="O24" s="98">
        <v>0</v>
      </c>
      <c r="P24" s="99">
        <f>O24+O24*$O$4</f>
        <v>0</v>
      </c>
      <c r="Q24" s="99">
        <f t="shared" si="0"/>
        <v>0</v>
      </c>
      <c r="R24" s="118"/>
      <c r="S24" s="98">
        <v>0</v>
      </c>
      <c r="T24" s="99">
        <f>S24+S24*$O$4</f>
        <v>0</v>
      </c>
      <c r="U24" s="99">
        <v>0</v>
      </c>
      <c r="V24" s="100"/>
      <c r="W24" s="99">
        <v>0</v>
      </c>
      <c r="X24" s="99">
        <f>W24+W24*$O$4</f>
        <v>0</v>
      </c>
      <c r="Y24" s="99">
        <f>ROUND(X24,-2)</f>
        <v>0</v>
      </c>
      <c r="Z24" s="44"/>
      <c r="AA24" s="80">
        <v>43100</v>
      </c>
      <c r="AB24" s="4"/>
    </row>
    <row r="25" spans="1:28" s="30" customFormat="1" ht="63.75">
      <c r="A25" s="96" t="s">
        <v>48</v>
      </c>
      <c r="B25" s="104"/>
      <c r="C25" s="49" t="s">
        <v>172</v>
      </c>
      <c r="D25" s="4" t="s">
        <v>170</v>
      </c>
      <c r="E25" s="4" t="s">
        <v>184</v>
      </c>
      <c r="F25" s="105"/>
      <c r="G25" s="112" t="s">
        <v>185</v>
      </c>
      <c r="H25" s="113"/>
      <c r="I25" s="114"/>
      <c r="J25" s="109" t="s">
        <v>102</v>
      </c>
      <c r="K25" s="49"/>
      <c r="L25" s="49" t="s">
        <v>50</v>
      </c>
      <c r="M25" s="4" t="s">
        <v>29</v>
      </c>
      <c r="N25" s="49"/>
      <c r="O25" s="98">
        <v>0</v>
      </c>
      <c r="P25" s="99">
        <f>O25+O25*$O$4</f>
        <v>0</v>
      </c>
      <c r="Q25" s="99">
        <f t="shared" si="0"/>
        <v>0</v>
      </c>
      <c r="R25" s="118"/>
      <c r="S25" s="98">
        <v>0</v>
      </c>
      <c r="T25" s="99">
        <f>S25+S25*$O$4</f>
        <v>0</v>
      </c>
      <c r="U25" s="99">
        <v>0</v>
      </c>
      <c r="V25" s="98"/>
      <c r="W25" s="99">
        <v>0</v>
      </c>
      <c r="X25" s="99">
        <f>W25+W25*$O$4</f>
        <v>0</v>
      </c>
      <c r="Y25" s="99">
        <f>ROUND(X25,-2)</f>
        <v>0</v>
      </c>
      <c r="Z25" s="108"/>
      <c r="AA25" s="80">
        <v>116900</v>
      </c>
      <c r="AB25" s="4"/>
    </row>
    <row r="26" spans="1:28" s="30" customFormat="1" ht="89.25">
      <c r="A26" s="96" t="s">
        <v>51</v>
      </c>
      <c r="B26" s="111"/>
      <c r="C26" s="49" t="s">
        <v>121</v>
      </c>
      <c r="D26" s="4" t="s">
        <v>170</v>
      </c>
      <c r="E26" s="4" t="s">
        <v>186</v>
      </c>
      <c r="F26" s="96"/>
      <c r="G26" s="49" t="s">
        <v>187</v>
      </c>
      <c r="H26" s="73"/>
      <c r="I26" s="96"/>
      <c r="J26" s="49" t="s">
        <v>27</v>
      </c>
      <c r="K26" s="49"/>
      <c r="L26" s="49" t="s">
        <v>50</v>
      </c>
      <c r="M26" s="4" t="s">
        <v>188</v>
      </c>
      <c r="N26" s="49"/>
      <c r="O26" s="98">
        <v>0</v>
      </c>
      <c r="P26" s="99">
        <f aca="true" t="shared" si="1" ref="P26:P31">O26+O26*$O$4</f>
        <v>0</v>
      </c>
      <c r="Q26" s="99">
        <f t="shared" si="0"/>
        <v>0</v>
      </c>
      <c r="R26" s="118"/>
      <c r="S26" s="98">
        <v>0</v>
      </c>
      <c r="T26" s="99">
        <f aca="true" t="shared" si="2" ref="T26:T31">S26+S26*$O$4</f>
        <v>0</v>
      </c>
      <c r="U26" s="99">
        <v>0</v>
      </c>
      <c r="V26" s="98"/>
      <c r="W26" s="99">
        <v>0</v>
      </c>
      <c r="X26" s="99">
        <f aca="true" t="shared" si="3" ref="X26:X31">W26+W26*$O$4</f>
        <v>0</v>
      </c>
      <c r="Y26" s="99">
        <v>0</v>
      </c>
      <c r="Z26" s="44"/>
      <c r="AA26" s="80">
        <f>492000+984000</f>
        <v>1476000</v>
      </c>
      <c r="AB26" s="4"/>
    </row>
    <row r="27" spans="1:28" s="30" customFormat="1" ht="76.5">
      <c r="A27" s="96" t="s">
        <v>52</v>
      </c>
      <c r="B27" s="104"/>
      <c r="C27" s="49" t="s">
        <v>172</v>
      </c>
      <c r="D27" s="4" t="s">
        <v>170</v>
      </c>
      <c r="E27" s="4" t="s">
        <v>189</v>
      </c>
      <c r="F27" s="105"/>
      <c r="G27" s="112" t="s">
        <v>190</v>
      </c>
      <c r="H27" s="113"/>
      <c r="I27" s="114"/>
      <c r="J27" s="109" t="s">
        <v>102</v>
      </c>
      <c r="K27" s="49"/>
      <c r="L27" s="49" t="s">
        <v>50</v>
      </c>
      <c r="M27" s="4" t="s">
        <v>29</v>
      </c>
      <c r="N27" s="49"/>
      <c r="O27" s="98">
        <v>0</v>
      </c>
      <c r="P27" s="99">
        <f t="shared" si="1"/>
        <v>0</v>
      </c>
      <c r="Q27" s="99">
        <f t="shared" si="0"/>
        <v>0</v>
      </c>
      <c r="R27" s="118"/>
      <c r="S27" s="98">
        <v>0</v>
      </c>
      <c r="T27" s="99">
        <f t="shared" si="2"/>
        <v>0</v>
      </c>
      <c r="U27" s="99">
        <v>0</v>
      </c>
      <c r="V27" s="98"/>
      <c r="W27" s="99">
        <v>0</v>
      </c>
      <c r="X27" s="99">
        <f t="shared" si="3"/>
        <v>0</v>
      </c>
      <c r="Y27" s="99">
        <f>ROUND(X27,-2)</f>
        <v>0</v>
      </c>
      <c r="Z27" s="108"/>
      <c r="AA27" s="80">
        <v>30800</v>
      </c>
      <c r="AB27" s="4"/>
    </row>
    <row r="28" spans="1:28" s="30" customFormat="1" ht="51">
      <c r="A28" s="96" t="s">
        <v>55</v>
      </c>
      <c r="B28" s="111"/>
      <c r="C28" s="49" t="s">
        <v>121</v>
      </c>
      <c r="D28" s="4" t="s">
        <v>170</v>
      </c>
      <c r="E28" s="4" t="s">
        <v>191</v>
      </c>
      <c r="F28" s="96"/>
      <c r="G28" s="112" t="s">
        <v>192</v>
      </c>
      <c r="H28" s="113"/>
      <c r="I28" s="114"/>
      <c r="J28" s="112" t="s">
        <v>27</v>
      </c>
      <c r="K28" s="49"/>
      <c r="L28" s="49" t="s">
        <v>50</v>
      </c>
      <c r="M28" s="4" t="s">
        <v>29</v>
      </c>
      <c r="N28" s="49"/>
      <c r="O28" s="98">
        <v>0</v>
      </c>
      <c r="P28" s="99">
        <f t="shared" si="1"/>
        <v>0</v>
      </c>
      <c r="Q28" s="99">
        <f t="shared" si="0"/>
        <v>0</v>
      </c>
      <c r="R28" s="100"/>
      <c r="S28" s="98">
        <v>0</v>
      </c>
      <c r="T28" s="99">
        <f t="shared" si="2"/>
        <v>0</v>
      </c>
      <c r="U28" s="99">
        <f>ROUND(T28,-2)</f>
        <v>0</v>
      </c>
      <c r="V28" s="98"/>
      <c r="W28" s="99">
        <v>0</v>
      </c>
      <c r="X28" s="99">
        <f t="shared" si="3"/>
        <v>0</v>
      </c>
      <c r="Y28" s="99">
        <v>0</v>
      </c>
      <c r="Z28" s="44"/>
      <c r="AA28" s="80">
        <v>246000</v>
      </c>
      <c r="AB28" s="4"/>
    </row>
    <row r="29" spans="1:28" s="30" customFormat="1" ht="51">
      <c r="A29" s="96" t="s">
        <v>57</v>
      </c>
      <c r="B29" s="104"/>
      <c r="C29" s="49" t="s">
        <v>172</v>
      </c>
      <c r="D29" s="4" t="s">
        <v>170</v>
      </c>
      <c r="E29" s="4" t="s">
        <v>193</v>
      </c>
      <c r="F29" s="105"/>
      <c r="G29" s="112" t="s">
        <v>194</v>
      </c>
      <c r="H29" s="113"/>
      <c r="I29" s="114"/>
      <c r="J29" s="109" t="s">
        <v>102</v>
      </c>
      <c r="K29" s="49"/>
      <c r="L29" s="49" t="s">
        <v>50</v>
      </c>
      <c r="M29" s="4" t="s">
        <v>29</v>
      </c>
      <c r="N29" s="49"/>
      <c r="O29" s="98">
        <v>0</v>
      </c>
      <c r="P29" s="99">
        <f t="shared" si="1"/>
        <v>0</v>
      </c>
      <c r="Q29" s="99">
        <v>0</v>
      </c>
      <c r="R29" s="100"/>
      <c r="S29" s="98">
        <v>0</v>
      </c>
      <c r="T29" s="99">
        <f t="shared" si="2"/>
        <v>0</v>
      </c>
      <c r="U29" s="99">
        <v>0</v>
      </c>
      <c r="V29" s="98"/>
      <c r="W29" s="99">
        <v>0</v>
      </c>
      <c r="X29" s="99">
        <f t="shared" si="3"/>
        <v>0</v>
      </c>
      <c r="Y29" s="99">
        <f>ROUND(X29,-2)</f>
        <v>0</v>
      </c>
      <c r="Z29" s="108"/>
      <c r="AA29" s="80">
        <v>22100</v>
      </c>
      <c r="AB29" s="4"/>
    </row>
    <row r="30" spans="1:28" s="30" customFormat="1" ht="51">
      <c r="A30" s="96" t="s">
        <v>60</v>
      </c>
      <c r="B30" s="111"/>
      <c r="C30" s="49" t="s">
        <v>121</v>
      </c>
      <c r="D30" s="4" t="s">
        <v>170</v>
      </c>
      <c r="E30" s="4" t="s">
        <v>195</v>
      </c>
      <c r="F30" s="96"/>
      <c r="G30" s="112" t="s">
        <v>196</v>
      </c>
      <c r="H30" s="113"/>
      <c r="I30" s="114"/>
      <c r="J30" s="112" t="s">
        <v>27</v>
      </c>
      <c r="K30" s="49"/>
      <c r="L30" s="49" t="s">
        <v>50</v>
      </c>
      <c r="M30" s="4" t="s">
        <v>29</v>
      </c>
      <c r="N30" s="49"/>
      <c r="O30" s="98">
        <v>0</v>
      </c>
      <c r="P30" s="99">
        <f t="shared" si="1"/>
        <v>0</v>
      </c>
      <c r="Q30" s="99">
        <f>ROUND(P30,-2)</f>
        <v>0</v>
      </c>
      <c r="R30" s="100"/>
      <c r="S30" s="99">
        <v>0</v>
      </c>
      <c r="T30" s="99">
        <f t="shared" si="2"/>
        <v>0</v>
      </c>
      <c r="U30" s="99">
        <v>0</v>
      </c>
      <c r="V30" s="100"/>
      <c r="W30" s="99">
        <v>0</v>
      </c>
      <c r="X30" s="99">
        <f t="shared" si="3"/>
        <v>0</v>
      </c>
      <c r="Y30" s="99">
        <f>ROUND(X30,-2)</f>
        <v>0</v>
      </c>
      <c r="Z30" s="44"/>
      <c r="AA30" s="80">
        <v>492000</v>
      </c>
      <c r="AB30" s="4"/>
    </row>
    <row r="31" spans="1:28" s="117" customFormat="1" ht="51">
      <c r="A31" s="96" t="s">
        <v>61</v>
      </c>
      <c r="B31" s="104"/>
      <c r="C31" s="49" t="s">
        <v>172</v>
      </c>
      <c r="D31" s="4" t="s">
        <v>170</v>
      </c>
      <c r="E31" s="4" t="s">
        <v>197</v>
      </c>
      <c r="F31" s="105"/>
      <c r="G31" s="112" t="s">
        <v>198</v>
      </c>
      <c r="H31" s="113"/>
      <c r="I31" s="114"/>
      <c r="J31" s="109" t="s">
        <v>102</v>
      </c>
      <c r="K31" s="49"/>
      <c r="L31" s="49" t="s">
        <v>50</v>
      </c>
      <c r="M31" s="4" t="s">
        <v>29</v>
      </c>
      <c r="N31" s="49"/>
      <c r="O31" s="98">
        <v>0</v>
      </c>
      <c r="P31" s="99">
        <f t="shared" si="1"/>
        <v>0</v>
      </c>
      <c r="Q31" s="99">
        <f>ROUND(P31,-2)</f>
        <v>0</v>
      </c>
      <c r="R31" s="100"/>
      <c r="S31" s="98">
        <v>0</v>
      </c>
      <c r="T31" s="99">
        <f t="shared" si="2"/>
        <v>0</v>
      </c>
      <c r="U31" s="99">
        <v>0</v>
      </c>
      <c r="V31" s="98"/>
      <c r="W31" s="99">
        <v>0</v>
      </c>
      <c r="X31" s="99">
        <f t="shared" si="3"/>
        <v>0</v>
      </c>
      <c r="Y31" s="99">
        <f>ROUND(X31,-2)</f>
        <v>0</v>
      </c>
      <c r="Z31" s="108"/>
      <c r="AA31" s="116">
        <v>30800</v>
      </c>
      <c r="AB31" s="110"/>
    </row>
  </sheetData>
  <sheetProtection/>
  <mergeCells count="1">
    <mergeCell ref="O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="70" zoomScaleNormal="90" zoomScaleSheetLayoutView="70" zoomScalePageLayoutView="0" workbookViewId="0" topLeftCell="A1">
      <selection activeCell="A7" sqref="A7:IV45"/>
    </sheetView>
  </sheetViews>
  <sheetFormatPr defaultColWidth="8.796875" defaultRowHeight="14.25"/>
  <cols>
    <col min="1" max="1" width="3.8984375" style="11" customWidth="1"/>
    <col min="2" max="2" width="5.5" style="14" customWidth="1"/>
    <col min="3" max="3" width="14.09765625" style="11" customWidth="1"/>
    <col min="4" max="4" width="13.3984375" style="11" customWidth="1"/>
    <col min="5" max="5" width="4.59765625" style="11" customWidth="1"/>
    <col min="6" max="6" width="11.59765625" style="26" customWidth="1"/>
    <col min="7" max="7" width="35.69921875" style="11" customWidth="1"/>
    <col min="8" max="8" width="6.3984375" style="121" hidden="1" customWidth="1"/>
    <col min="9" max="9" width="9.59765625" style="11" hidden="1" customWidth="1"/>
    <col min="10" max="10" width="11.09765625" style="11" customWidth="1"/>
    <col min="11" max="11" width="4" style="11" customWidth="1"/>
    <col min="12" max="12" width="13.5" style="11" customWidth="1"/>
    <col min="13" max="13" width="14.3984375" style="26" customWidth="1"/>
    <col min="14" max="14" width="14.5" style="17" bestFit="1" customWidth="1"/>
    <col min="15" max="15" width="14.69921875" style="17" customWidth="1"/>
    <col min="16" max="16" width="14.59765625" style="17" customWidth="1"/>
    <col min="17" max="17" width="13.3984375" style="17" bestFit="1" customWidth="1"/>
    <col min="18" max="18" width="13.69921875" style="17" customWidth="1"/>
    <col min="19" max="19" width="19.59765625" style="11" customWidth="1"/>
    <col min="20" max="20" width="13.5" style="11" customWidth="1"/>
    <col min="21" max="21" width="10.8984375" style="11" bestFit="1" customWidth="1"/>
    <col min="22" max="23" width="7.8984375" style="11" bestFit="1" customWidth="1"/>
    <col min="24" max="16384" width="9" style="11" customWidth="1"/>
  </cols>
  <sheetData>
    <row r="1" spans="1:19" s="23" customFormat="1" ht="15">
      <c r="A1" s="19" t="s">
        <v>0</v>
      </c>
      <c r="B1" s="20"/>
      <c r="C1" s="21"/>
      <c r="D1" s="21"/>
      <c r="E1" s="21"/>
      <c r="F1" s="24"/>
      <c r="G1" s="21"/>
      <c r="H1" s="129"/>
      <c r="I1" s="21"/>
      <c r="J1" s="21"/>
      <c r="K1" s="21"/>
      <c r="L1" s="21"/>
      <c r="M1" s="24"/>
      <c r="N1" s="22"/>
      <c r="O1" s="22"/>
      <c r="P1" s="22"/>
      <c r="Q1" s="22"/>
      <c r="R1" s="22"/>
      <c r="S1" s="21"/>
    </row>
    <row r="2" spans="1:20" ht="57">
      <c r="A2" s="10" t="s">
        <v>1</v>
      </c>
      <c r="B2" s="13" t="s">
        <v>2</v>
      </c>
      <c r="C2" s="10" t="s">
        <v>3</v>
      </c>
      <c r="D2" s="10" t="s">
        <v>4</v>
      </c>
      <c r="E2" s="10" t="s">
        <v>5</v>
      </c>
      <c r="F2" s="25" t="s">
        <v>6</v>
      </c>
      <c r="G2" s="10" t="s">
        <v>7</v>
      </c>
      <c r="H2" s="135" t="s">
        <v>97</v>
      </c>
      <c r="I2" s="10" t="s">
        <v>9</v>
      </c>
      <c r="J2" s="10" t="s">
        <v>10</v>
      </c>
      <c r="K2" s="10"/>
      <c r="L2" s="10" t="s">
        <v>11</v>
      </c>
      <c r="M2" s="25" t="s">
        <v>12</v>
      </c>
      <c r="N2" s="420" t="s">
        <v>95</v>
      </c>
      <c r="O2" s="421"/>
      <c r="P2" s="421"/>
      <c r="Q2" s="421"/>
      <c r="R2" s="422"/>
      <c r="S2" s="10" t="s">
        <v>13</v>
      </c>
      <c r="T2" s="11" t="s">
        <v>14</v>
      </c>
    </row>
    <row r="3" spans="1:19" ht="33.75">
      <c r="A3" s="10"/>
      <c r="B3" s="13"/>
      <c r="C3" s="10"/>
      <c r="D3" s="10"/>
      <c r="E3" s="10"/>
      <c r="F3" s="25"/>
      <c r="G3" s="10"/>
      <c r="H3" s="133" t="s">
        <v>99</v>
      </c>
      <c r="I3" s="132"/>
      <c r="J3" s="10"/>
      <c r="K3" s="10"/>
      <c r="L3" s="10"/>
      <c r="M3" s="25"/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0"/>
    </row>
    <row r="4" spans="1:19" ht="33.75">
      <c r="A4" s="10"/>
      <c r="B4" s="13"/>
      <c r="C4" s="10"/>
      <c r="D4" s="10"/>
      <c r="E4" s="10"/>
      <c r="F4" s="25"/>
      <c r="G4" s="10"/>
      <c r="H4" s="134" t="s">
        <v>100</v>
      </c>
      <c r="I4" s="10"/>
      <c r="J4" s="10"/>
      <c r="K4" s="10"/>
      <c r="L4" s="10"/>
      <c r="M4" s="25"/>
      <c r="N4" s="16" t="s">
        <v>22</v>
      </c>
      <c r="O4" s="16" t="s">
        <v>22</v>
      </c>
      <c r="P4" s="16" t="s">
        <v>22</v>
      </c>
      <c r="Q4" s="16" t="s">
        <v>22</v>
      </c>
      <c r="R4" s="16" t="s">
        <v>22</v>
      </c>
      <c r="S4" s="10"/>
    </row>
    <row r="5" spans="1:19" ht="24">
      <c r="A5" s="10"/>
      <c r="B5" s="13"/>
      <c r="C5" s="10"/>
      <c r="D5" s="10"/>
      <c r="E5" s="10"/>
      <c r="F5" s="25"/>
      <c r="G5" s="10"/>
      <c r="H5" s="130"/>
      <c r="I5" s="10"/>
      <c r="J5" s="10"/>
      <c r="K5" s="10"/>
      <c r="L5" s="10"/>
      <c r="M5" s="25"/>
      <c r="N5" s="1" t="s">
        <v>23</v>
      </c>
      <c r="O5" s="16"/>
      <c r="P5" s="16"/>
      <c r="Q5" s="16"/>
      <c r="R5" s="16"/>
      <c r="S5" s="10"/>
    </row>
    <row r="6" spans="1:19" ht="57">
      <c r="A6" s="10" t="s">
        <v>38</v>
      </c>
      <c r="B6" s="13" t="s">
        <v>39</v>
      </c>
      <c r="C6" s="10"/>
      <c r="D6" s="10" t="s">
        <v>40</v>
      </c>
      <c r="E6" s="10"/>
      <c r="F6" s="25"/>
      <c r="G6" s="10" t="s">
        <v>206</v>
      </c>
      <c r="H6" s="130"/>
      <c r="I6" s="10"/>
      <c r="J6" s="10" t="s">
        <v>27</v>
      </c>
      <c r="K6" s="10" t="s">
        <v>103</v>
      </c>
      <c r="L6" s="10" t="s">
        <v>28</v>
      </c>
      <c r="M6" s="25" t="s">
        <v>29</v>
      </c>
      <c r="N6" s="16"/>
      <c r="O6" s="16" t="s">
        <v>41</v>
      </c>
      <c r="P6" s="16"/>
      <c r="Q6" s="16"/>
      <c r="R6" s="16"/>
      <c r="S6" s="10" t="s">
        <v>42</v>
      </c>
    </row>
    <row r="7" spans="2:18" s="120" customFormat="1" ht="15">
      <c r="B7" s="121"/>
      <c r="F7" s="122"/>
      <c r="H7" s="121"/>
      <c r="L7" s="120" t="s">
        <v>84</v>
      </c>
      <c r="M7" s="139" t="s">
        <v>85</v>
      </c>
      <c r="N7" s="140">
        <f>SUM(N6:N6)</f>
        <v>0</v>
      </c>
      <c r="O7" s="140">
        <f>SUM(O6:O6)</f>
        <v>0</v>
      </c>
      <c r="P7" s="140">
        <f>SUM(P6:P6)</f>
        <v>0</v>
      </c>
      <c r="Q7" s="140">
        <f>SUM(Q6:Q6)</f>
        <v>0</v>
      </c>
      <c r="R7" s="140">
        <f>SUM(R6:R6)</f>
        <v>0</v>
      </c>
    </row>
    <row r="8" spans="13:18" ht="15">
      <c r="M8" s="141" t="s">
        <v>86</v>
      </c>
      <c r="N8" s="142"/>
      <c r="O8" s="142"/>
      <c r="P8" s="142"/>
      <c r="Q8" s="142"/>
      <c r="R8" s="142"/>
    </row>
    <row r="9" spans="13:18" ht="15">
      <c r="M9" s="143" t="s">
        <v>29</v>
      </c>
      <c r="N9" s="144">
        <f>SUMIF($M$6:$M$6,$M$9,N6:N6)</f>
        <v>0</v>
      </c>
      <c r="O9" s="144">
        <f>SUMIF($M$6:$M$6,$M$9,O6:O6)</f>
        <v>0</v>
      </c>
      <c r="P9" s="144">
        <f>SUMIF($M$6:$M$6,$M$9,P6:P6)</f>
        <v>0</v>
      </c>
      <c r="Q9" s="144">
        <f>SUMIF($M$6:$M$6,$M$9,Q6:Q6)</f>
        <v>0</v>
      </c>
      <c r="R9" s="144">
        <f>SUMIF($M$6:$M$6,$M$9,R6:R6)</f>
        <v>0</v>
      </c>
    </row>
    <row r="10" spans="13:18" ht="60">
      <c r="M10" s="143" t="s">
        <v>67</v>
      </c>
      <c r="N10" s="144">
        <f>SUMIF($M$6:$M$6,$M$10,N6:N6)</f>
        <v>0</v>
      </c>
      <c r="O10" s="144">
        <f>SUMIF($M$6:$M$6,$M$10,O6:O6)</f>
        <v>0</v>
      </c>
      <c r="P10" s="144">
        <f>SUMIF($M$6:$M$6,$M$10,P6:P6)</f>
        <v>0</v>
      </c>
      <c r="Q10" s="144">
        <f>SUMIF($M$6:$M$6,$M$10,Q6:Q6)</f>
        <v>0</v>
      </c>
      <c r="R10" s="144">
        <f>SUMIF($M$6:$M$6,$M$10,R6:R6)</f>
        <v>0</v>
      </c>
    </row>
    <row r="11" spans="13:18" ht="36">
      <c r="M11" s="143" t="s">
        <v>36</v>
      </c>
      <c r="N11" s="144">
        <f>SUMIF($M$6:$M$6,$M$11,N6:N6)</f>
        <v>0</v>
      </c>
      <c r="O11" s="144">
        <f>SUMIF($M$6:$M$6,$M$11,O6:O6)</f>
        <v>0</v>
      </c>
      <c r="P11" s="144">
        <f>SUMIF($M$6:$M$6,$M$11,P6:P6)</f>
        <v>0</v>
      </c>
      <c r="Q11" s="144">
        <f>SUMIF($M$6:$M$6,$M$11,Q6:Q6)</f>
        <v>0</v>
      </c>
      <c r="R11" s="144">
        <f>SUMIF($M$6:$M$6,$M$11,R6:R6)</f>
        <v>0</v>
      </c>
    </row>
    <row r="12" spans="1:18" s="37" customFormat="1" ht="15.75">
      <c r="A12" s="34"/>
      <c r="B12" s="35"/>
      <c r="C12" s="36"/>
      <c r="E12" s="38"/>
      <c r="H12" s="35"/>
      <c r="I12" s="39"/>
      <c r="K12" s="40"/>
      <c r="M12" s="145" t="s">
        <v>86</v>
      </c>
      <c r="N12" s="7"/>
      <c r="O12" s="7"/>
      <c r="P12" s="7"/>
      <c r="Q12" s="146"/>
      <c r="R12" s="147"/>
    </row>
    <row r="13" spans="1:18" s="2" customFormat="1" ht="15.75">
      <c r="A13" s="41"/>
      <c r="B13" s="28"/>
      <c r="E13" s="29"/>
      <c r="H13" s="28"/>
      <c r="I13" s="29"/>
      <c r="K13" s="30"/>
      <c r="L13" s="5"/>
      <c r="M13" s="148" t="s">
        <v>200</v>
      </c>
      <c r="N13" s="123">
        <f>SUMIF($K$6:$K$6,"RB",N6:N6)</f>
        <v>0</v>
      </c>
      <c r="O13" s="123">
        <f>SUMIF($K$6:$K$6,"RB",O6:O6)</f>
        <v>0</v>
      </c>
      <c r="P13" s="123">
        <f>SUMIF($K$6:$K$6,"RB",P6:P6)</f>
        <v>0</v>
      </c>
      <c r="Q13" s="123">
        <f>SUMIF($K$6:$K$6,"RB",Q6:Q6)</f>
        <v>0</v>
      </c>
      <c r="R13" s="123">
        <f>SUMIF($K$6:$K$6,"RB",R6:R6)</f>
        <v>0</v>
      </c>
    </row>
    <row r="14" spans="1:18" s="2" customFormat="1" ht="15.75">
      <c r="A14" s="41"/>
      <c r="B14" s="28"/>
      <c r="E14" s="29"/>
      <c r="H14" s="28"/>
      <c r="I14" s="29"/>
      <c r="K14" s="30"/>
      <c r="L14" s="5"/>
      <c r="M14" s="148" t="s">
        <v>201</v>
      </c>
      <c r="N14" s="123">
        <f>SUMIF($K$6:$K$6,"UP",N6:N6)</f>
        <v>0</v>
      </c>
      <c r="O14" s="123">
        <f>SUMIF($K$6:$K$6,"UP",O6:O6)</f>
        <v>0</v>
      </c>
      <c r="P14" s="123">
        <f>SUMIF($K$6:$K$6,"UP",P6:P6)</f>
        <v>0</v>
      </c>
      <c r="Q14" s="123">
        <f>SUMIF($K$6:$K$6,"UP",Q6:Q6)</f>
        <v>0</v>
      </c>
      <c r="R14" s="123">
        <f>SUMIF($K$6:$K$6,"UP",R6:R6)</f>
        <v>0</v>
      </c>
    </row>
    <row r="15" spans="1:18" s="6" customFormat="1" ht="15.75">
      <c r="A15" s="41"/>
      <c r="B15" s="28"/>
      <c r="E15" s="42"/>
      <c r="F15" s="43"/>
      <c r="H15" s="28"/>
      <c r="I15" s="42"/>
      <c r="K15" s="30"/>
      <c r="L15" s="43"/>
      <c r="M15" s="148" t="s">
        <v>202</v>
      </c>
      <c r="N15" s="123">
        <f>SUMIF($K$6:$K$6,"U",N6:N6)</f>
        <v>0</v>
      </c>
      <c r="O15" s="123">
        <f>SUMIF($K$6:$K$6,"U",O6:O6)</f>
        <v>0</v>
      </c>
      <c r="P15" s="123">
        <f>SUMIF($K$6:$K$6,"U",P6:P6)</f>
        <v>0</v>
      </c>
      <c r="Q15" s="123">
        <f>SUMIF($K$6:$K$6,"U",Q6:Q6)</f>
        <v>0</v>
      </c>
      <c r="R15" s="123">
        <f>SUMIF($K$6:$K$6,"U",R6:R6)</f>
        <v>0</v>
      </c>
    </row>
    <row r="16" spans="1:18" s="6" customFormat="1" ht="24">
      <c r="A16" s="41"/>
      <c r="B16" s="28"/>
      <c r="E16" s="42"/>
      <c r="F16" s="43"/>
      <c r="H16" s="28"/>
      <c r="I16" s="42"/>
      <c r="K16" s="30"/>
      <c r="L16" s="43"/>
      <c r="M16" s="148" t="s">
        <v>203</v>
      </c>
      <c r="N16" s="123">
        <f>SUMIF($K$6:$K$6,"UZ",N6:N6)</f>
        <v>0</v>
      </c>
      <c r="O16" s="123">
        <f>SUMIF($K$6:$K$6,"UZ",O6:O6)</f>
        <v>0</v>
      </c>
      <c r="P16" s="123">
        <f>SUMIF($K$6:$K$6,"UZ",P6:P6)</f>
        <v>0</v>
      </c>
      <c r="Q16" s="123">
        <f>SUMIF($K$6:$K$6,"UZ",Q6:Q6)</f>
        <v>0</v>
      </c>
      <c r="R16" s="123">
        <f>SUMIF($K$6:$K$6,"UZ",R6:R6)</f>
        <v>0</v>
      </c>
    </row>
    <row r="17" spans="13:18" ht="15">
      <c r="M17" s="141" t="s">
        <v>86</v>
      </c>
      <c r="N17" s="142"/>
      <c r="O17" s="142"/>
      <c r="P17" s="142"/>
      <c r="Q17" s="142"/>
      <c r="R17" s="142"/>
    </row>
    <row r="18" spans="13:18" ht="15">
      <c r="M18" s="143" t="s">
        <v>87</v>
      </c>
      <c r="N18" s="123">
        <f>SUMIF($H$6:$H$6,"P",N6:N8)</f>
        <v>0</v>
      </c>
      <c r="O18" s="127"/>
      <c r="P18" s="128"/>
      <c r="Q18" s="128"/>
      <c r="R18" s="128"/>
    </row>
    <row r="19" spans="13:18" ht="15">
      <c r="M19" s="143" t="s">
        <v>88</v>
      </c>
      <c r="N19" s="123">
        <f>SUMIF($H$6:$H$6,"R",N6:N6)</f>
        <v>0</v>
      </c>
      <c r="O19" s="127"/>
      <c r="P19" s="128"/>
      <c r="Q19" s="128"/>
      <c r="R19" s="128"/>
    </row>
    <row r="20" spans="14:18" ht="15">
      <c r="N20" s="119"/>
      <c r="O20" s="119"/>
      <c r="P20" s="119"/>
      <c r="Q20" s="119"/>
      <c r="R20" s="119"/>
    </row>
    <row r="21" spans="2:18" s="12" customFormat="1" ht="15">
      <c r="B21" s="15"/>
      <c r="F21" s="27"/>
      <c r="H21" s="131"/>
      <c r="M21" s="27"/>
      <c r="N21" s="18"/>
      <c r="O21" s="18"/>
      <c r="P21" s="18"/>
      <c r="Q21" s="18"/>
      <c r="R21" s="18"/>
    </row>
    <row r="22" spans="2:18" s="12" customFormat="1" ht="15">
      <c r="B22" s="15"/>
      <c r="F22" s="27"/>
      <c r="H22" s="131"/>
      <c r="M22" s="27"/>
      <c r="N22" s="18"/>
      <c r="O22" s="18"/>
      <c r="P22" s="18"/>
      <c r="Q22" s="18"/>
      <c r="R22" s="18"/>
    </row>
    <row r="23" spans="1:18" s="12" customFormat="1" ht="14.25">
      <c r="A23" s="12" t="s">
        <v>89</v>
      </c>
      <c r="B23" s="15"/>
      <c r="F23" s="27"/>
      <c r="G23" s="125"/>
      <c r="H23" s="138" t="s">
        <v>90</v>
      </c>
      <c r="I23" s="125"/>
      <c r="J23" s="125"/>
      <c r="M23" s="27"/>
      <c r="N23" s="18"/>
      <c r="O23" s="18" t="s">
        <v>91</v>
      </c>
      <c r="P23" s="18"/>
      <c r="Q23" s="18"/>
      <c r="R23" s="18" t="s">
        <v>92</v>
      </c>
    </row>
    <row r="24" spans="2:18" s="12" customFormat="1" ht="14.25">
      <c r="B24" s="15"/>
      <c r="F24" s="27"/>
      <c r="G24" s="125"/>
      <c r="H24" s="138"/>
      <c r="I24" s="125"/>
      <c r="J24" s="125"/>
      <c r="M24" s="27"/>
      <c r="N24" s="18"/>
      <c r="O24" s="18"/>
      <c r="P24" s="18"/>
      <c r="Q24" s="18"/>
      <c r="R24" s="18" t="s">
        <v>93</v>
      </c>
    </row>
    <row r="25" spans="1:18" s="12" customFormat="1" ht="14.25">
      <c r="A25" s="12" t="s">
        <v>94</v>
      </c>
      <c r="B25" s="15"/>
      <c r="F25" s="27"/>
      <c r="G25" s="125"/>
      <c r="H25" s="138" t="s">
        <v>94</v>
      </c>
      <c r="I25" s="125"/>
      <c r="J25" s="125"/>
      <c r="M25" s="27"/>
      <c r="N25" s="18"/>
      <c r="O25" s="18" t="s">
        <v>94</v>
      </c>
      <c r="P25" s="18"/>
      <c r="Q25" s="18"/>
      <c r="R25" s="18" t="s">
        <v>94</v>
      </c>
    </row>
    <row r="26" spans="7:10" ht="15">
      <c r="G26" s="136"/>
      <c r="H26" s="137"/>
      <c r="I26" s="136"/>
      <c r="J26" s="136"/>
    </row>
  </sheetData>
  <sheetProtection/>
  <autoFilter ref="A5:T5"/>
  <mergeCells count="1">
    <mergeCell ref="N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Romaniuk</dc:creator>
  <cp:keywords/>
  <dc:description/>
  <cp:lastModifiedBy>AdamczyJ</cp:lastModifiedBy>
  <cp:lastPrinted>2013-02-22T10:21:39Z</cp:lastPrinted>
  <dcterms:created xsi:type="dcterms:W3CDTF">2012-10-09T05:45:25Z</dcterms:created>
  <dcterms:modified xsi:type="dcterms:W3CDTF">2013-04-05T06:55:23Z</dcterms:modified>
  <cp:category/>
  <cp:version/>
  <cp:contentType/>
  <cp:contentStatus/>
</cp:coreProperties>
</file>