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40" windowWidth="18195" windowHeight="9525" activeTab="3"/>
  </bookViews>
  <sheets>
    <sheet name="Plan" sheetId="1" r:id="rId1"/>
    <sheet name="przychody działalności " sheetId="2" r:id="rId2"/>
    <sheet name="czesne +ang" sheetId="3" r:id="rId3"/>
    <sheet name="koszty operacyjne  " sheetId="4" r:id="rId4"/>
  </sheets>
  <externalReferences>
    <externalReference r:id="rId7"/>
  </externalReferences>
  <definedNames>
    <definedName name="_xlnm.Print_Area" localSheetId="1">'przychody działalności '!$B$2:$I$26</definedName>
  </definedNames>
  <calcPr fullCalcOnLoad="1"/>
</workbook>
</file>

<file path=xl/comments1.xml><?xml version="1.0" encoding="utf-8"?>
<comments xmlns="http://schemas.openxmlformats.org/spreadsheetml/2006/main">
  <authors>
    <author>Ewa Szczepańska</author>
  </authors>
  <commentList>
    <comment ref="G69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+7 mln podwyżki+899 tys za zamianę działek nagroda</t>
        </r>
      </text>
    </comment>
    <comment ref="G21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40 tys WE</t>
        </r>
      </text>
    </comment>
    <comment ref="G22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50tys WE</t>
        </r>
      </text>
    </comment>
    <comment ref="G29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20 tys WE</t>
        </r>
      </text>
    </comment>
    <comment ref="G32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10 tys WE</t>
        </r>
      </text>
    </comment>
    <comment ref="G35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80 tys WE</t>
        </r>
      </text>
    </comment>
    <comment ref="G44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20 tys WE</t>
        </r>
      </text>
    </comment>
    <comment ref="G49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20 tys WE</t>
        </r>
      </text>
    </comment>
    <comment ref="G48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20 tys WE</t>
        </r>
      </text>
    </comment>
    <comment ref="G73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150 tys WE</t>
        </r>
      </text>
    </comment>
    <comment ref="G76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80 tys WE</t>
        </r>
      </text>
    </comment>
    <comment ref="G24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20 tys WE</t>
        </r>
      </text>
    </comment>
    <comment ref="G56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10 tys WE</t>
        </r>
      </text>
    </comment>
    <comment ref="G59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40 TYS we</t>
        </r>
      </text>
    </comment>
    <comment ref="G63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50 TYS we</t>
        </r>
      </text>
    </comment>
  </commentList>
</comments>
</file>

<file path=xl/comments2.xml><?xml version="1.0" encoding="utf-8"?>
<comments xmlns="http://schemas.openxmlformats.org/spreadsheetml/2006/main">
  <authors>
    <author>Ewa Szczepańska</author>
  </authors>
  <commentList>
    <comment ref="H10" authorId="0">
      <text>
        <r>
          <rPr>
            <b/>
            <sz val="8"/>
            <rFont val="Tahoma"/>
            <family val="2"/>
          </rPr>
          <t>Ewa Szczepańska:</t>
        </r>
        <r>
          <rPr>
            <sz val="8"/>
            <rFont val="Tahoma"/>
            <family val="2"/>
          </rPr>
          <t xml:space="preserve">
484 TYS ZWIĘKSZENIE OPŁATY REKRUTACYJNEJ</t>
        </r>
      </text>
    </comment>
  </commentList>
</comments>
</file>

<file path=xl/comments3.xml><?xml version="1.0" encoding="utf-8"?>
<comments xmlns="http://schemas.openxmlformats.org/spreadsheetml/2006/main">
  <authors>
    <author>Ewa Szczepańska</author>
  </authors>
  <commentList>
    <comment ref="B6" authorId="0">
      <text>
        <r>
          <rPr>
            <b/>
            <sz val="8"/>
            <rFont val="Tahoma"/>
            <family val="2"/>
          </rPr>
          <t>Ewa Szczepańska:</t>
        </r>
        <r>
          <rPr>
            <sz val="8"/>
            <rFont val="Tahoma"/>
            <family val="2"/>
          </rPr>
          <t xml:space="preserve">
is + cudzoz</t>
        </r>
      </text>
    </comment>
    <comment ref="B11" authorId="0">
      <text>
        <r>
          <rPr>
            <b/>
            <sz val="9"/>
            <rFont val="Tahoma"/>
            <family val="2"/>
          </rPr>
          <t>Ewa Szczepańska:</t>
        </r>
        <r>
          <rPr>
            <sz val="9"/>
            <rFont val="Tahoma"/>
            <family val="2"/>
          </rPr>
          <t xml:space="preserve">
ilosc studentów na podstawie naliczenia pienkosia
</t>
        </r>
      </text>
    </comment>
  </commentList>
</comments>
</file>

<file path=xl/comments4.xml><?xml version="1.0" encoding="utf-8"?>
<comments xmlns="http://schemas.openxmlformats.org/spreadsheetml/2006/main">
  <authors>
    <author>Ewa Szczepańska</author>
  </authors>
  <commentList>
    <comment ref="H15" authorId="0">
      <text>
        <r>
          <rPr>
            <b/>
            <sz val="8"/>
            <rFont val="Tahoma"/>
            <family val="2"/>
          </rPr>
          <t>Ewa Szczepańska:</t>
        </r>
        <r>
          <rPr>
            <sz val="8"/>
            <rFont val="Tahoma"/>
            <family val="2"/>
          </rPr>
          <t xml:space="preserve">
153 tys projekty+zsi 
</t>
        </r>
      </text>
    </comment>
  </commentList>
</comments>
</file>

<file path=xl/sharedStrings.xml><?xml version="1.0" encoding="utf-8"?>
<sst xmlns="http://schemas.openxmlformats.org/spreadsheetml/2006/main" count="471" uniqueCount="356">
  <si>
    <t xml:space="preserve">Uniwersytet Ekonomiczny w Krakowie </t>
  </si>
  <si>
    <t/>
  </si>
  <si>
    <t>LP</t>
  </si>
  <si>
    <t>Opis</t>
  </si>
  <si>
    <t>Budżet UEK po odliczeniu działalności wyodrębnionej 2015</t>
  </si>
  <si>
    <t>Badania Naukowe</t>
  </si>
  <si>
    <t xml:space="preserve">Projekty </t>
  </si>
  <si>
    <t>Konferencje</t>
  </si>
  <si>
    <t>Studia podyplomowe</t>
  </si>
  <si>
    <t>KSB</t>
  </si>
  <si>
    <t>MSAP</t>
  </si>
  <si>
    <t>Razem działalność wyodrębniona</t>
  </si>
  <si>
    <t>Budżet Ogółem 2015</t>
  </si>
  <si>
    <t>A</t>
  </si>
  <si>
    <t>RAZEM PRZYCHODY:</t>
  </si>
  <si>
    <t>A.1.1</t>
  </si>
  <si>
    <t>Dotacja dydaktyczna</t>
  </si>
  <si>
    <t>A.1.2</t>
  </si>
  <si>
    <t>A.1.3</t>
  </si>
  <si>
    <t>Przychody z czesnego</t>
  </si>
  <si>
    <t>Pozost. przych edukacyjne</t>
  </si>
  <si>
    <t>Pozostałe przychody</t>
  </si>
  <si>
    <t>Przychody projektów</t>
  </si>
  <si>
    <t>działalność badawcza</t>
  </si>
  <si>
    <t>Zmiana stanu produktów</t>
  </si>
  <si>
    <t>B</t>
  </si>
  <si>
    <t>KOSZTY:</t>
  </si>
  <si>
    <t>B.I.1</t>
  </si>
  <si>
    <t>Razem: Amortyzacja</t>
  </si>
  <si>
    <t>B.I.1.1</t>
  </si>
  <si>
    <t>B.I.1.2</t>
  </si>
  <si>
    <t>B.I.1.3</t>
  </si>
  <si>
    <t>B.I.1.4</t>
  </si>
  <si>
    <t>B.I.2</t>
  </si>
  <si>
    <t>Razem: Materiały</t>
  </si>
  <si>
    <t>B.I.2.1</t>
  </si>
  <si>
    <t>B.I.2.10</t>
  </si>
  <si>
    <t>B.I.2.11</t>
  </si>
  <si>
    <t>B.I.2.2</t>
  </si>
  <si>
    <t>B.I.2.3</t>
  </si>
  <si>
    <t>B.I.2.5</t>
  </si>
  <si>
    <t>B.I.2.6</t>
  </si>
  <si>
    <t>B.I.2.7</t>
  </si>
  <si>
    <t>B.I.2.8</t>
  </si>
  <si>
    <t>B.I.3</t>
  </si>
  <si>
    <t>Razem: Media</t>
  </si>
  <si>
    <t>B.I.3.1</t>
  </si>
  <si>
    <t>B.I.3.2</t>
  </si>
  <si>
    <t>B.I.3.3</t>
  </si>
  <si>
    <t>B.I.3.4</t>
  </si>
  <si>
    <t>B.I.4</t>
  </si>
  <si>
    <t>Razem: Usługi obce</t>
  </si>
  <si>
    <t>B.I.4.1</t>
  </si>
  <si>
    <t>B.I.4.10</t>
  </si>
  <si>
    <t>B.I.4.11</t>
  </si>
  <si>
    <t>B.I.4.12</t>
  </si>
  <si>
    <t>B.I.4.13</t>
  </si>
  <si>
    <t>B.I.4.14</t>
  </si>
  <si>
    <t>B.I.4.15</t>
  </si>
  <si>
    <t>B.I.4.16</t>
  </si>
  <si>
    <t>B.I.4.17</t>
  </si>
  <si>
    <t>B.I.4.18</t>
  </si>
  <si>
    <t>B.I.4.2</t>
  </si>
  <si>
    <t>B.I.4.3</t>
  </si>
  <si>
    <t>B.I.4.4</t>
  </si>
  <si>
    <t>B.I.4.5</t>
  </si>
  <si>
    <t>B.I.4.6</t>
  </si>
  <si>
    <t>B.I.4.7</t>
  </si>
  <si>
    <t>B.I.4.8</t>
  </si>
  <si>
    <t>B.I.4.9</t>
  </si>
  <si>
    <t>B.I.5</t>
  </si>
  <si>
    <t>Razem: Pozostałe</t>
  </si>
  <si>
    <t>B.I.5.1</t>
  </si>
  <si>
    <t>B.I.5.2</t>
  </si>
  <si>
    <t>B.I.5.3</t>
  </si>
  <si>
    <t>B.I.5.4</t>
  </si>
  <si>
    <t>B.I.6</t>
  </si>
  <si>
    <t>Razem: Podatki i opłaty</t>
  </si>
  <si>
    <t>B.I.6.1</t>
  </si>
  <si>
    <t>Podatki i opłaty</t>
  </si>
  <si>
    <t>B.I.7</t>
  </si>
  <si>
    <t>Razem: Wynagrodzenia</t>
  </si>
  <si>
    <t>B.I.7.1</t>
  </si>
  <si>
    <t>Osobowy Fundusz Płac</t>
  </si>
  <si>
    <t>B.I.7.2</t>
  </si>
  <si>
    <t>Fundusz Płac (13-tka)</t>
  </si>
  <si>
    <t>B.I.7.3</t>
  </si>
  <si>
    <t>Fundusz Płac (ponadwym.)</t>
  </si>
  <si>
    <t>B.I.7.4</t>
  </si>
  <si>
    <t>Fundusz Płac (III filar)</t>
  </si>
  <si>
    <t>B.I.7.5</t>
  </si>
  <si>
    <t>BFP + honoraria</t>
  </si>
  <si>
    <t>B.I.8</t>
  </si>
  <si>
    <t>Razem: Pozostałe świadczenia</t>
  </si>
  <si>
    <t>B.I.8.1</t>
  </si>
  <si>
    <t>Ubezpieczenia społeczne</t>
  </si>
  <si>
    <t>B.I.8.2</t>
  </si>
  <si>
    <t>Poz. świad. na rzecz prac</t>
  </si>
  <si>
    <t>B.I.suma</t>
  </si>
  <si>
    <t>Razem: Koszty bezpośrednie</t>
  </si>
  <si>
    <t>B.II.1</t>
  </si>
  <si>
    <t>Narz. Biblioteki</t>
  </si>
  <si>
    <t>Narz. budyn. dydak.</t>
  </si>
  <si>
    <t>Narz. budyn. admin.</t>
  </si>
  <si>
    <t>B.II.3</t>
  </si>
  <si>
    <t>Narz. ogólnych</t>
  </si>
  <si>
    <t>B.II.suma</t>
  </si>
  <si>
    <t>Razem: Koszty pośrednie</t>
  </si>
  <si>
    <t>RAZEM KOSZTY</t>
  </si>
  <si>
    <t>C</t>
  </si>
  <si>
    <t>WYNIK:</t>
  </si>
  <si>
    <t>D.1</t>
  </si>
  <si>
    <t>Pozost. przychody operacyjne</t>
  </si>
  <si>
    <t>D.2</t>
  </si>
  <si>
    <t>Pozost. koszty operacyjne</t>
  </si>
  <si>
    <t>E</t>
  </si>
  <si>
    <t>WYNIK NA DZIAŁ. OPERACYJNEJ</t>
  </si>
  <si>
    <t>F.1</t>
  </si>
  <si>
    <t>Przychody finansowe</t>
  </si>
  <si>
    <t>F.2</t>
  </si>
  <si>
    <t>Koszty finansowe</t>
  </si>
  <si>
    <t>G</t>
  </si>
  <si>
    <t>WYNIK NA DZIAŁ. GOSPODARCZEJ</t>
  </si>
  <si>
    <t>H</t>
  </si>
  <si>
    <t>Podatek dochodwy</t>
  </si>
  <si>
    <t>I</t>
  </si>
  <si>
    <t>WYNIK NETTO</t>
  </si>
  <si>
    <t>PRZYCHODY</t>
  </si>
  <si>
    <t xml:space="preserve">  Załącznik nr 1</t>
  </si>
  <si>
    <t>A.</t>
  </si>
  <si>
    <t>Wykonanie 2013</t>
  </si>
  <si>
    <t>Plan 2015</t>
  </si>
  <si>
    <t>Plan 2013</t>
  </si>
  <si>
    <t>Stopień realizacji 4/3</t>
  </si>
  <si>
    <t>Działalność UEK  /bez działalności wyodrębnionej/</t>
  </si>
  <si>
    <t>PRZYCHODY NETTO ZE SPRZEDAŻY PRODUKTÓW</t>
  </si>
  <si>
    <t>I.1</t>
  </si>
  <si>
    <t>DOTACJA</t>
  </si>
  <si>
    <t>I.2</t>
  </si>
  <si>
    <t xml:space="preserve">CZESNE STUDIA NIESTACJONARNE w tym: </t>
  </si>
  <si>
    <t>700002, 700009</t>
  </si>
  <si>
    <t>- czesne studentów niestacjonych I I II stopień</t>
  </si>
  <si>
    <t>- czesne studentów III stopień</t>
  </si>
  <si>
    <t>- opłaty (dyplomy, rekrutacja, ponowny wpis, przedłużenie itp.) w tym:</t>
  </si>
  <si>
    <t>- opłata rekrutacyjna</t>
  </si>
  <si>
    <t>I.3</t>
  </si>
  <si>
    <t>- środki z budżetu jednostek samorzadu terytorialnego</t>
  </si>
  <si>
    <t>- sprzedaż skryptów</t>
  </si>
  <si>
    <t>- przychody biblioteka (karty, ksero)</t>
  </si>
  <si>
    <t>- wynajem lokali</t>
  </si>
  <si>
    <t>- pawilon sportowy</t>
  </si>
  <si>
    <t>- przychody wydziałów</t>
  </si>
  <si>
    <t>- centrum promocji i rzecznika</t>
  </si>
  <si>
    <t>- studium języków (płatne kursy, egzaminy)</t>
  </si>
  <si>
    <t>- przychody wydawnictwa i poligrafii (egz. obowiązkowe, publikacje)</t>
  </si>
  <si>
    <t>- przychody kół naukowych i org.stud.</t>
  </si>
  <si>
    <t>- pozostałe przychody</t>
  </si>
  <si>
    <t>- Uniwersytet Trzeciego Wieku, Uniwersytet Dzieci</t>
  </si>
  <si>
    <t>Działalność wyodrębniona</t>
  </si>
  <si>
    <t>Przychody netto ze sprzedaży produktów</t>
  </si>
  <si>
    <t>przychody KSB</t>
  </si>
  <si>
    <t>przychody MSAP</t>
  </si>
  <si>
    <t>przychody studia podyplomowe</t>
  </si>
  <si>
    <t>I.4</t>
  </si>
  <si>
    <t>I.5</t>
  </si>
  <si>
    <t>konferencje</t>
  </si>
  <si>
    <t>1.6</t>
  </si>
  <si>
    <t>projekty UE( Inf. Stosowana, Zarądzanie projektem)</t>
  </si>
  <si>
    <t>1.7</t>
  </si>
  <si>
    <t>projekty pozostałe</t>
  </si>
  <si>
    <t>1.8</t>
  </si>
  <si>
    <t>Pozostałe przychody operacyjne</t>
  </si>
  <si>
    <t>1.9</t>
  </si>
  <si>
    <t xml:space="preserve">Obroty wewnętrzne </t>
  </si>
  <si>
    <t>Razem Przychody UEK</t>
  </si>
  <si>
    <t>Konferencje kół naukowych są ujęte w konferencjach</t>
  </si>
  <si>
    <t xml:space="preserve">Prognozowane naliczenie czesnego na 2015 rok </t>
  </si>
  <si>
    <t>Studia niestacjonarne</t>
  </si>
  <si>
    <t>Ogółem czesne</t>
  </si>
  <si>
    <t>I st-studenci</t>
  </si>
  <si>
    <t xml:space="preserve">I st-czesne </t>
  </si>
  <si>
    <t>II st studenci</t>
  </si>
  <si>
    <t>II st czesne</t>
  </si>
  <si>
    <t>Ogółem studenci</t>
  </si>
  <si>
    <t>Ogółem czesne za sem.</t>
  </si>
  <si>
    <t>Czesne dotyczące 2015</t>
  </si>
  <si>
    <t>Liczba studentów niest na 22.10.2014</t>
  </si>
  <si>
    <t>w tym przed obroną</t>
  </si>
  <si>
    <t>w tym na I roku</t>
  </si>
  <si>
    <t>liczba studentów kończących VI 2012</t>
  </si>
  <si>
    <t>Liczba studentów studiujących w sem zimowy 2014/2015</t>
  </si>
  <si>
    <t>Lista studentów kończących II 2015</t>
  </si>
  <si>
    <t>Liczba studentów studiujących w sem letnim 2014/2015</t>
  </si>
  <si>
    <t>Lista studentów kończących VI 2015</t>
  </si>
  <si>
    <t>Liczba studentów przyjętych X 2015</t>
  </si>
  <si>
    <t>Liczba studentów studiujących w sem zimowym 2015/2016</t>
  </si>
  <si>
    <t>Prognozowane czesne dotyczące 2015</t>
  </si>
  <si>
    <t>Studia stacjonarne w j. angielskim International busines+ corporate finanse (płatne)</t>
  </si>
  <si>
    <t>Liczba studentów studiujących w sem zimowy 2013/2014</t>
  </si>
  <si>
    <t>Studia stacjonarne w j polskim cudzoziemcy (odpłatność dewizowa)</t>
  </si>
  <si>
    <t>I st-czesne</t>
  </si>
  <si>
    <t>Liczba studentów niest na 30.11.2013</t>
  </si>
  <si>
    <t>Studia doktoranckie</t>
  </si>
  <si>
    <t>III st-studenci</t>
  </si>
  <si>
    <t>III st-czesne</t>
  </si>
  <si>
    <t>liczba studentów niest kończących III 2012</t>
  </si>
  <si>
    <t>liczba studentów niest przyjętych III 2012</t>
  </si>
  <si>
    <t>Międzywydziałowe doktoranckie</t>
  </si>
  <si>
    <t>I rok</t>
  </si>
  <si>
    <t>I rok - czesne</t>
  </si>
  <si>
    <t>II i III rok</t>
  </si>
  <si>
    <t>liczba studentów niest. Kończących VI 2014</t>
  </si>
  <si>
    <t>Ogółem prognozowane czesne na 2015</t>
  </si>
  <si>
    <t>Opłaty w sem zimowym 2012/2013</t>
  </si>
  <si>
    <t>Opłaty w sem letnim 2012/2013</t>
  </si>
  <si>
    <t>Opłaty w sem zimowym 2013/2014</t>
  </si>
  <si>
    <t>BO 2013</t>
  </si>
  <si>
    <t>SEMESTR LETNI 2012/2013</t>
  </si>
  <si>
    <t>SEMESTR ZIMOWY 2013/2014</t>
  </si>
  <si>
    <t>BO 2014</t>
  </si>
  <si>
    <t>PRZYCHODY 2013</t>
  </si>
  <si>
    <t>PRZYCHODY DOKTORANCI 2013</t>
  </si>
  <si>
    <t>Działalność UEK / bez działalności wyodrębnionej/</t>
  </si>
  <si>
    <t>L.p.</t>
  </si>
  <si>
    <t>2012 (ogółem)</t>
  </si>
  <si>
    <t>1.</t>
  </si>
  <si>
    <t>otrzymane darowizny</t>
  </si>
  <si>
    <t>- dary biblioteczne</t>
  </si>
  <si>
    <t>- darowizny środków trwałych</t>
  </si>
  <si>
    <t>- pozostałe</t>
  </si>
  <si>
    <t>2.</t>
  </si>
  <si>
    <t>przychody z likwidacji i sprzedaży środków trwałych (złom, meble, sprzęt)</t>
  </si>
  <si>
    <t>3.</t>
  </si>
  <si>
    <t>otrzymane zwroty z ZUS (nadpłata składki)</t>
  </si>
  <si>
    <t>4.</t>
  </si>
  <si>
    <t>otrzymane kary i odszkodowania</t>
  </si>
  <si>
    <t>- nieterminowe zwroty książek</t>
  </si>
  <si>
    <t>- zgubione bloczki, identyfikatory, koszty wezwań</t>
  </si>
  <si>
    <t>- kary umowne, odszkodowania</t>
  </si>
  <si>
    <t>5.</t>
  </si>
  <si>
    <t>rozwiązanie odpisu aktualizującego należności</t>
  </si>
  <si>
    <t>6.</t>
  </si>
  <si>
    <t>otrzymane dofinansowania = amortyzacji (projekty)</t>
  </si>
  <si>
    <t>7.</t>
  </si>
  <si>
    <t xml:space="preserve">dofinansowanie realizacji projektów </t>
  </si>
  <si>
    <t xml:space="preserve">            </t>
  </si>
  <si>
    <t>- wynagrodzenie płatnika składek - podatek dochodowy</t>
  </si>
  <si>
    <t>- przychody z tytułu wysyłki książek</t>
  </si>
  <si>
    <t>- zmniejszenie odpisu aktualizującego wartość wyrobów gotowych (wydawnictw)</t>
  </si>
  <si>
    <t>- dofinansowanie Uniwersytetu III Wieku</t>
  </si>
  <si>
    <t>- pozostałe przychody (korekty lat ubiegłych, drobne salda)</t>
  </si>
  <si>
    <t>SUMA</t>
  </si>
  <si>
    <t>Pozostałe koszty operacyjne</t>
  </si>
  <si>
    <r>
      <t xml:space="preserve">2012 </t>
    </r>
    <r>
      <rPr>
        <b/>
        <sz val="11"/>
        <rFont val="Arial CE"/>
        <family val="0"/>
      </rPr>
      <t>(ogółem)</t>
    </r>
  </si>
  <si>
    <t>odpis aktualizujący wartość należności</t>
  </si>
  <si>
    <t>odchylenie cen ewidencyjnych wydawnictw od kosztów wytworzenia</t>
  </si>
  <si>
    <t>kary, grzywny i opłaty</t>
  </si>
  <si>
    <t>pozostałe koszty</t>
  </si>
  <si>
    <t>- opłaty sądowe i komornicze</t>
  </si>
  <si>
    <t>- pozostałe koszty</t>
  </si>
  <si>
    <t>- odsetki</t>
  </si>
  <si>
    <t>- różnice kursowe</t>
  </si>
  <si>
    <t xml:space="preserve">Koszty wytworzenia produktów na własne potrzeby </t>
  </si>
  <si>
    <t>- narzut kosztów pośrednich na na DS.</t>
  </si>
  <si>
    <t>- obroty wewnętrzne</t>
  </si>
  <si>
    <t>Liczba studentów niest na 31.11.2014</t>
  </si>
  <si>
    <t>Dotacja dla Osób Niepełnosprawnych</t>
  </si>
  <si>
    <t>Działalność badawcza</t>
  </si>
  <si>
    <t>Koszty wytworzenia produktów</t>
  </si>
  <si>
    <t>Amor. stopniowa ST</t>
  </si>
  <si>
    <t>Amor. jednorazowa ST</t>
  </si>
  <si>
    <t>Amor. jednorazowa księgozbiorów</t>
  </si>
  <si>
    <t>Wartości niematerialne i prawne</t>
  </si>
  <si>
    <t>A.1.4</t>
  </si>
  <si>
    <t>A.1.5</t>
  </si>
  <si>
    <t>A.1.6</t>
  </si>
  <si>
    <t>A.1.7</t>
  </si>
  <si>
    <t>A.1.8</t>
  </si>
  <si>
    <t>A.1.9</t>
  </si>
  <si>
    <t>A.1.10</t>
  </si>
  <si>
    <t>B.I.2.4</t>
  </si>
  <si>
    <t>B.I.2.9</t>
  </si>
  <si>
    <t>B.II.2</t>
  </si>
  <si>
    <t>B.II.4</t>
  </si>
  <si>
    <t>Paliwo</t>
  </si>
  <si>
    <t>Akcesoria drukarskie</t>
  </si>
  <si>
    <t>Materiały dydaktyczne</t>
  </si>
  <si>
    <t>Programy komputerowe</t>
  </si>
  <si>
    <t>Środki chemiczne basen</t>
  </si>
  <si>
    <t>Książki i czasopisma</t>
  </si>
  <si>
    <t>Materiały biurowe i eksploatacyjne</t>
  </si>
  <si>
    <t>Środki czystości</t>
  </si>
  <si>
    <t>Artykuły spożywcze</t>
  </si>
  <si>
    <t>Materiały pozostałe</t>
  </si>
  <si>
    <t>Druki akcydensowe</t>
  </si>
  <si>
    <t>Energia elektryczna</t>
  </si>
  <si>
    <t>Energia cieplna</t>
  </si>
  <si>
    <t>Woda</t>
  </si>
  <si>
    <t>Gaz</t>
  </si>
  <si>
    <t>Usł. transportowe</t>
  </si>
  <si>
    <t>Udział w konferencjach</t>
  </si>
  <si>
    <t>Wywóz nieczystości</t>
  </si>
  <si>
    <t>Obozy studenckie,zawody</t>
  </si>
  <si>
    <t>Pozostałe usługi materialne</t>
  </si>
  <si>
    <t>Usługi informatyczne</t>
  </si>
  <si>
    <t>Usługi dydaktyczne</t>
  </si>
  <si>
    <t>Usługi dostarczania informacji</t>
  </si>
  <si>
    <t>Usługi bankowe</t>
  </si>
  <si>
    <t>Konserwacja sprzętu i wyposażenia</t>
  </si>
  <si>
    <t>Remonty obiektów</t>
  </si>
  <si>
    <t>Usługi telekom. i teleinformatyczne</t>
  </si>
  <si>
    <t>Usł. pocztowe</t>
  </si>
  <si>
    <t>Ochrona</t>
  </si>
  <si>
    <t>Usługi drukarskie i introligatorskie</t>
  </si>
  <si>
    <t>Usługi cateringowe i  hotele</t>
  </si>
  <si>
    <t>Czynsze za wynajem</t>
  </si>
  <si>
    <t>Aparatura specjalna</t>
  </si>
  <si>
    <t>Podróże służbowe</t>
  </si>
  <si>
    <t>Reklama i promocja</t>
  </si>
  <si>
    <t>Pozostałe koszty rodzajowe</t>
  </si>
  <si>
    <t>II rok - czesne</t>
  </si>
  <si>
    <t>Wykonanie za 2014 po odliczeniu działalności wyodrębnionej</t>
  </si>
  <si>
    <t>Budżet UEK po odliczeniu działalności wyodrębnionej 2014</t>
  </si>
  <si>
    <t>Wykonanie 2014</t>
  </si>
  <si>
    <t>- napłata składek na FP za rok 2011</t>
  </si>
  <si>
    <t>przekazanie książek innym jednostkom UEK</t>
  </si>
  <si>
    <t xml:space="preserve">darowizny </t>
  </si>
  <si>
    <t>przecena i odpis aktualizujący wartość wyrobów gotowych (wydawnictw)</t>
  </si>
  <si>
    <t>- pokontrolny zwrot środków niekwalifikowalnych projektów</t>
  </si>
  <si>
    <t>Plan 2014</t>
  </si>
  <si>
    <t>Wykonanie ogółem 2014</t>
  </si>
  <si>
    <t xml:space="preserve">- nieodpłatne przekazania towarów </t>
  </si>
  <si>
    <t>Wykonanie za 2013 po odliczeniu działalności wyodrębnionej</t>
  </si>
  <si>
    <t>Plan rzeczowo-finansowy na 2015 rok</t>
  </si>
  <si>
    <t>Plan rzeczowo-finansowy Uniwersytetu Ekonomicznego w Krakowie na 2015 rok   -   Załącznik nr 2</t>
  </si>
  <si>
    <t>Plan rzeczowo-finansowy Uniwersytetu Ekonomicznego w Krakowie na 2015 rok   -   Załącznik nr 3</t>
  </si>
  <si>
    <t xml:space="preserve">Plan rzeczowo-finansowy Uniwersytetu Ekonomicznego w Krakowie na 2015 rok   </t>
  </si>
  <si>
    <t>I.2.1</t>
  </si>
  <si>
    <t>I.2.2</t>
  </si>
  <si>
    <t>I.2.3</t>
  </si>
  <si>
    <t>I.3.1</t>
  </si>
  <si>
    <t>I.3.2</t>
  </si>
  <si>
    <t>I.3.3</t>
  </si>
  <si>
    <t>I.3.4</t>
  </si>
  <si>
    <t>I.3.5</t>
  </si>
  <si>
    <t>I.3.6</t>
  </si>
  <si>
    <t>I.3.7</t>
  </si>
  <si>
    <t>I.3.8</t>
  </si>
  <si>
    <t>I.3.9</t>
  </si>
  <si>
    <t>I.3.10</t>
  </si>
  <si>
    <t>I.3.11</t>
  </si>
  <si>
    <t>POZOSTAŁE PRZYCHODY w tym:</t>
  </si>
  <si>
    <t>Usługi ksero, foto i tłumaczenia</t>
  </si>
  <si>
    <t>21.05.2015</t>
  </si>
  <si>
    <t>- przychody z tytułu zamiany działek</t>
  </si>
  <si>
    <t>Dotacja projakościowa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</si>
</sst>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]"/>
    <numFmt numFmtId="165" formatCode="_(* #,##0.00_);_(* \(#,##0.00\);_(* &quot;-&quot;??_);_(@_)"/>
    <numFmt numFmtId="166" formatCode="0.0%"/>
    <numFmt numFmtId="167" formatCode="#,##0.0"/>
    <numFmt numFmtId="168" formatCode="_-* #,##0.0\ _z_ł_-;\-* #,##0.0\ _z_ł_-;_-* &quot;-&quot;??\ _z_ł_-;_-@_-"/>
    <numFmt numFmtId="169" formatCode="_-* #,##0.0\ _z_ł_-;\-* #,##0.0\ _z_ł_-;_-* &quot;-&quot;?\ _z_ł_-;_-@_-"/>
    <numFmt numFmtId="170" formatCode="#,##0.000"/>
    <numFmt numFmtId="171" formatCode="#,##0.00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sz val="8"/>
      <name val="Times New Roman"/>
      <family val="1"/>
    </font>
    <font>
      <b/>
      <i/>
      <sz val="11"/>
      <name val="Times New Roman"/>
      <family val="1"/>
    </font>
    <font>
      <sz val="8"/>
      <name val="Arial CE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14"/>
      <name val="Times New Roman"/>
      <family val="1"/>
    </font>
    <font>
      <b/>
      <i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4F9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165" fontId="0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0" fillId="0" borderId="0">
      <alignment/>
      <protection/>
    </xf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72" fillId="27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1" fillId="31" borderId="9" applyNumberFormat="0" applyFon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5" fontId="0" fillId="0" borderId="0" xfId="42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166" fontId="0" fillId="0" borderId="0" xfId="56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164" fontId="10" fillId="33" borderId="1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11" fillId="0" borderId="11" xfId="0" applyFont="1" applyFill="1" applyBorder="1" applyAlignment="1">
      <alignment horizontal="left"/>
    </xf>
    <xf numFmtId="164" fontId="11" fillId="0" borderId="11" xfId="0" applyNumberFormat="1" applyFont="1" applyFill="1" applyBorder="1" applyAlignment="1">
      <alignment horizontal="right"/>
    </xf>
    <xf numFmtId="164" fontId="11" fillId="34" borderId="11" xfId="0" applyNumberFormat="1" applyFont="1" applyFill="1" applyBorder="1" applyAlignment="1">
      <alignment horizontal="right"/>
    </xf>
    <xf numFmtId="164" fontId="11" fillId="0" borderId="11" xfId="53" applyNumberFormat="1" applyFont="1" applyBorder="1" applyAlignment="1">
      <alignment horizontal="right"/>
      <protection/>
    </xf>
    <xf numFmtId="4" fontId="11" fillId="0" borderId="11" xfId="0" applyNumberFormat="1" applyFont="1" applyFill="1" applyBorder="1" applyAlignment="1">
      <alignment horizontal="right"/>
    </xf>
    <xf numFmtId="164" fontId="10" fillId="0" borderId="11" xfId="0" applyNumberFormat="1" applyFont="1" applyFill="1" applyBorder="1" applyAlignment="1">
      <alignment horizontal="right"/>
    </xf>
    <xf numFmtId="164" fontId="10" fillId="35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/>
    </xf>
    <xf numFmtId="164" fontId="10" fillId="34" borderId="11" xfId="0" applyNumberFormat="1" applyFont="1" applyFill="1" applyBorder="1" applyAlignment="1">
      <alignment horizontal="right"/>
    </xf>
    <xf numFmtId="164" fontId="10" fillId="0" borderId="11" xfId="53" applyNumberFormat="1" applyFont="1" applyBorder="1" applyAlignment="1">
      <alignment horizontal="right"/>
      <protection/>
    </xf>
    <xf numFmtId="4" fontId="10" fillId="0" borderId="11" xfId="0" applyNumberFormat="1" applyFont="1" applyFill="1" applyBorder="1" applyAlignment="1">
      <alignment horizontal="right"/>
    </xf>
    <xf numFmtId="164" fontId="10" fillId="33" borderId="11" xfId="53" applyNumberFormat="1" applyFont="1" applyFill="1" applyBorder="1" applyAlignment="1">
      <alignment horizontal="right"/>
      <protection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0" fillId="33" borderId="11" xfId="53" applyNumberFormat="1" applyFont="1" applyFill="1" applyBorder="1" applyAlignment="1">
      <alignment horizontal="right"/>
      <protection/>
    </xf>
    <xf numFmtId="0" fontId="10" fillId="36" borderId="11" xfId="0" applyFont="1" applyFill="1" applyBorder="1" applyAlignment="1">
      <alignment horizontal="left"/>
    </xf>
    <xf numFmtId="164" fontId="10" fillId="36" borderId="1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0" fontId="0" fillId="0" borderId="0" xfId="56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5" fillId="0" borderId="0" xfId="54" applyFont="1" applyAlignment="1">
      <alignment horizontal="left"/>
      <protection/>
    </xf>
    <xf numFmtId="0" fontId="12" fillId="0" borderId="0" xfId="54" applyFont="1">
      <alignment/>
      <protection/>
    </xf>
    <xf numFmtId="0" fontId="14" fillId="0" borderId="0" xfId="54">
      <alignment/>
      <protection/>
    </xf>
    <xf numFmtId="0" fontId="17" fillId="0" borderId="0" xfId="54" applyFont="1" applyAlignment="1">
      <alignment horizontal="left"/>
      <protection/>
    </xf>
    <xf numFmtId="0" fontId="18" fillId="0" borderId="0" xfId="54" applyFont="1" applyBorder="1" applyAlignment="1">
      <alignment vertical="center"/>
      <protection/>
    </xf>
    <xf numFmtId="0" fontId="19" fillId="0" borderId="0" xfId="54" applyFont="1" applyBorder="1" applyAlignment="1">
      <alignment horizontal="right"/>
      <protection/>
    </xf>
    <xf numFmtId="0" fontId="15" fillId="37" borderId="12" xfId="54" applyFont="1" applyFill="1" applyBorder="1" applyAlignment="1">
      <alignment horizontal="left"/>
      <protection/>
    </xf>
    <xf numFmtId="0" fontId="20" fillId="37" borderId="13" xfId="54" applyFont="1" applyFill="1" applyBorder="1" applyAlignment="1">
      <alignment/>
      <protection/>
    </xf>
    <xf numFmtId="167" fontId="21" fillId="0" borderId="13" xfId="54" applyNumberFormat="1" applyFont="1" applyFill="1" applyBorder="1" applyAlignment="1">
      <alignment horizontal="center" wrapText="1"/>
      <protection/>
    </xf>
    <xf numFmtId="0" fontId="20" fillId="37" borderId="14" xfId="54" applyFont="1" applyFill="1" applyBorder="1" applyAlignment="1">
      <alignment horizontal="center" wrapText="1"/>
      <protection/>
    </xf>
    <xf numFmtId="0" fontId="22" fillId="37" borderId="13" xfId="54" applyFont="1" applyFill="1" applyBorder="1" applyAlignment="1">
      <alignment horizontal="center" wrapText="1"/>
      <protection/>
    </xf>
    <xf numFmtId="0" fontId="15" fillId="37" borderId="15" xfId="54" applyFont="1" applyFill="1" applyBorder="1" applyAlignment="1">
      <alignment horizontal="left"/>
      <protection/>
    </xf>
    <xf numFmtId="0" fontId="23" fillId="0" borderId="16" xfId="54" applyFont="1" applyBorder="1" applyAlignment="1">
      <alignment horizontal="center"/>
      <protection/>
    </xf>
    <xf numFmtId="0" fontId="15" fillId="37" borderId="17" xfId="54" applyFont="1" applyFill="1" applyBorder="1" applyAlignment="1">
      <alignment horizontal="left" wrapText="1"/>
      <protection/>
    </xf>
    <xf numFmtId="0" fontId="20" fillId="38" borderId="13" xfId="54" applyFont="1" applyFill="1" applyBorder="1" applyAlignment="1">
      <alignment horizontal="left" wrapText="1"/>
      <protection/>
    </xf>
    <xf numFmtId="167" fontId="20" fillId="38" borderId="13" xfId="54" applyNumberFormat="1" applyFont="1" applyFill="1" applyBorder="1" applyAlignment="1">
      <alignment horizontal="right" wrapText="1"/>
      <protection/>
    </xf>
    <xf numFmtId="3" fontId="20" fillId="38" borderId="18" xfId="54" applyNumberFormat="1" applyFont="1" applyFill="1" applyBorder="1" applyAlignment="1">
      <alignment horizontal="right" wrapText="1"/>
      <protection/>
    </xf>
    <xf numFmtId="166" fontId="23" fillId="37" borderId="13" xfId="57" applyNumberFormat="1" applyFont="1" applyFill="1" applyBorder="1" applyAlignment="1">
      <alignment/>
    </xf>
    <xf numFmtId="0" fontId="15" fillId="38" borderId="19" xfId="54" applyFont="1" applyFill="1" applyBorder="1" applyAlignment="1">
      <alignment horizontal="left" wrapText="1"/>
      <protection/>
    </xf>
    <xf numFmtId="0" fontId="23" fillId="0" borderId="13" xfId="54" applyFont="1" applyFill="1" applyBorder="1" applyAlignment="1">
      <alignment horizontal="left" wrapText="1"/>
      <protection/>
    </xf>
    <xf numFmtId="167" fontId="23" fillId="0" borderId="13" xfId="54" applyNumberFormat="1" applyFont="1" applyFill="1" applyBorder="1" applyAlignment="1">
      <alignment wrapText="1"/>
      <protection/>
    </xf>
    <xf numFmtId="3" fontId="23" fillId="0" borderId="13" xfId="54" applyNumberFormat="1" applyFont="1" applyFill="1" applyBorder="1" applyAlignment="1">
      <alignment wrapText="1"/>
      <protection/>
    </xf>
    <xf numFmtId="166" fontId="23" fillId="38" borderId="13" xfId="57" applyNumberFormat="1" applyFont="1" applyFill="1" applyBorder="1" applyAlignment="1">
      <alignment/>
    </xf>
    <xf numFmtId="167" fontId="14" fillId="0" borderId="0" xfId="54" applyNumberFormat="1">
      <alignment/>
      <protection/>
    </xf>
    <xf numFmtId="168" fontId="14" fillId="0" borderId="0" xfId="54" applyNumberFormat="1">
      <alignment/>
      <protection/>
    </xf>
    <xf numFmtId="0" fontId="15" fillId="37" borderId="20" xfId="54" applyFont="1" applyFill="1" applyBorder="1" applyAlignment="1" quotePrefix="1">
      <alignment horizontal="left" wrapText="1"/>
      <protection/>
    </xf>
    <xf numFmtId="49" fontId="24" fillId="0" borderId="13" xfId="54" applyNumberFormat="1" applyFont="1" applyFill="1" applyBorder="1" applyAlignment="1">
      <alignment wrapText="1"/>
      <protection/>
    </xf>
    <xf numFmtId="167" fontId="24" fillId="0" borderId="13" xfId="54" applyNumberFormat="1" applyFont="1" applyFill="1" applyBorder="1" applyAlignment="1">
      <alignment wrapText="1"/>
      <protection/>
    </xf>
    <xf numFmtId="3" fontId="24" fillId="0" borderId="13" xfId="54" applyNumberFormat="1" applyFont="1" applyFill="1" applyBorder="1" applyAlignment="1">
      <alignment wrapText="1"/>
      <protection/>
    </xf>
    <xf numFmtId="169" fontId="25" fillId="0" borderId="0" xfId="54" applyNumberFormat="1" applyFont="1">
      <alignment/>
      <protection/>
    </xf>
    <xf numFmtId="0" fontId="25" fillId="0" borderId="0" xfId="54" applyFont="1">
      <alignment/>
      <protection/>
    </xf>
    <xf numFmtId="167" fontId="25" fillId="0" borderId="0" xfId="54" applyNumberFormat="1" applyFont="1">
      <alignment/>
      <protection/>
    </xf>
    <xf numFmtId="0" fontId="15" fillId="37" borderId="20" xfId="54" applyFont="1" applyFill="1" applyBorder="1" applyAlignment="1">
      <alignment horizontal="left"/>
      <protection/>
    </xf>
    <xf numFmtId="49" fontId="24" fillId="37" borderId="13" xfId="54" applyNumberFormat="1" applyFont="1" applyFill="1" applyBorder="1">
      <alignment/>
      <protection/>
    </xf>
    <xf numFmtId="167" fontId="24" fillId="37" borderId="13" xfId="54" applyNumberFormat="1" applyFont="1" applyFill="1" applyBorder="1" applyAlignment="1">
      <alignment/>
      <protection/>
    </xf>
    <xf numFmtId="3" fontId="24" fillId="37" borderId="13" xfId="54" applyNumberFormat="1" applyFont="1" applyFill="1" applyBorder="1" applyAlignment="1">
      <alignment/>
      <protection/>
    </xf>
    <xf numFmtId="4" fontId="25" fillId="0" borderId="0" xfId="54" applyNumberFormat="1" applyFont="1">
      <alignment/>
      <protection/>
    </xf>
    <xf numFmtId="49" fontId="24" fillId="37" borderId="13" xfId="54" applyNumberFormat="1" applyFont="1" applyFill="1" applyBorder="1" applyAlignment="1">
      <alignment horizontal="left" wrapText="1"/>
      <protection/>
    </xf>
    <xf numFmtId="167" fontId="24" fillId="37" borderId="13" xfId="54" applyNumberFormat="1" applyFont="1" applyFill="1" applyBorder="1" applyAlignment="1">
      <alignment wrapText="1"/>
      <protection/>
    </xf>
    <xf numFmtId="3" fontId="24" fillId="37" borderId="13" xfId="54" applyNumberFormat="1" applyFont="1" applyFill="1" applyBorder="1" applyAlignment="1">
      <alignment wrapText="1"/>
      <protection/>
    </xf>
    <xf numFmtId="167" fontId="25" fillId="0" borderId="0" xfId="54" applyNumberFormat="1" applyFont="1" applyFill="1">
      <alignment/>
      <protection/>
    </xf>
    <xf numFmtId="49" fontId="23" fillId="0" borderId="13" xfId="54" applyNumberFormat="1" applyFont="1" applyFill="1" applyBorder="1">
      <alignment/>
      <protection/>
    </xf>
    <xf numFmtId="167" fontId="23" fillId="0" borderId="13" xfId="54" applyNumberFormat="1" applyFont="1" applyFill="1" applyBorder="1" applyAlignment="1">
      <alignment/>
      <protection/>
    </xf>
    <xf numFmtId="3" fontId="23" fillId="0" borderId="13" xfId="54" applyNumberFormat="1" applyFont="1" applyFill="1" applyBorder="1" applyAlignment="1">
      <alignment/>
      <protection/>
    </xf>
    <xf numFmtId="0" fontId="25" fillId="0" borderId="0" xfId="54" applyFont="1" applyFill="1">
      <alignment/>
      <protection/>
    </xf>
    <xf numFmtId="0" fontId="23" fillId="0" borderId="13" xfId="54" applyFont="1" applyBorder="1">
      <alignment/>
      <protection/>
    </xf>
    <xf numFmtId="167" fontId="24" fillId="0" borderId="13" xfId="54" applyNumberFormat="1" applyFont="1" applyBorder="1" applyAlignment="1">
      <alignment wrapText="1"/>
      <protection/>
    </xf>
    <xf numFmtId="3" fontId="24" fillId="0" borderId="13" xfId="54" applyNumberFormat="1" applyFont="1" applyBorder="1" applyAlignment="1">
      <alignment wrapText="1"/>
      <protection/>
    </xf>
    <xf numFmtId="168" fontId="14" fillId="0" borderId="0" xfId="54" applyNumberFormat="1" applyFill="1">
      <alignment/>
      <protection/>
    </xf>
    <xf numFmtId="0" fontId="15" fillId="39" borderId="13" xfId="54" applyFont="1" applyFill="1" applyBorder="1" applyAlignment="1">
      <alignment horizontal="left" wrapText="1"/>
      <protection/>
    </xf>
    <xf numFmtId="166" fontId="23" fillId="39" borderId="13" xfId="57" applyNumberFormat="1" applyFont="1" applyFill="1" applyBorder="1" applyAlignment="1">
      <alignment/>
    </xf>
    <xf numFmtId="43" fontId="14" fillId="0" borderId="0" xfId="54" applyNumberFormat="1" applyFill="1">
      <alignment/>
      <protection/>
    </xf>
    <xf numFmtId="0" fontId="26" fillId="40" borderId="18" xfId="54" applyFont="1" applyFill="1" applyBorder="1" applyAlignment="1">
      <alignment horizontal="left" wrapText="1"/>
      <protection/>
    </xf>
    <xf numFmtId="9" fontId="27" fillId="37" borderId="13" xfId="57" applyFont="1" applyFill="1" applyBorder="1" applyAlignment="1">
      <alignment/>
    </xf>
    <xf numFmtId="0" fontId="26" fillId="0" borderId="0" xfId="54" applyFont="1" applyAlignment="1">
      <alignment horizontal="left"/>
      <protection/>
    </xf>
    <xf numFmtId="0" fontId="14" fillId="0" borderId="0" xfId="54" applyFill="1">
      <alignment/>
      <protection/>
    </xf>
    <xf numFmtId="0" fontId="20" fillId="37" borderId="13" xfId="54" applyFont="1" applyFill="1" applyBorder="1" applyAlignment="1">
      <alignment horizontal="left" wrapText="1"/>
      <protection/>
    </xf>
    <xf numFmtId="167" fontId="20" fillId="0" borderId="13" xfId="54" applyNumberFormat="1" applyFont="1" applyBorder="1" applyAlignment="1">
      <alignment horizontal="center"/>
      <protection/>
    </xf>
    <xf numFmtId="0" fontId="23" fillId="37" borderId="13" xfId="54" applyFont="1" applyFill="1" applyBorder="1" applyAlignment="1">
      <alignment horizontal="left" wrapText="1"/>
      <protection/>
    </xf>
    <xf numFmtId="0" fontId="28" fillId="37" borderId="13" xfId="54" applyFont="1" applyFill="1" applyBorder="1">
      <alignment/>
      <protection/>
    </xf>
    <xf numFmtId="168" fontId="28" fillId="0" borderId="13" xfId="44" applyNumberFormat="1" applyFont="1" applyFill="1" applyBorder="1" applyAlignment="1">
      <alignment horizontal="center"/>
    </xf>
    <xf numFmtId="168" fontId="28" fillId="37" borderId="13" xfId="44" applyNumberFormat="1" applyFont="1" applyFill="1" applyBorder="1" applyAlignment="1">
      <alignment horizontal="center"/>
    </xf>
    <xf numFmtId="0" fontId="28" fillId="0" borderId="13" xfId="54" applyFont="1" applyFill="1" applyBorder="1">
      <alignment/>
      <protection/>
    </xf>
    <xf numFmtId="0" fontId="23" fillId="0" borderId="13" xfId="54" applyFont="1" applyBorder="1" applyAlignment="1">
      <alignment wrapText="1"/>
      <protection/>
    </xf>
    <xf numFmtId="168" fontId="23" fillId="0" borderId="13" xfId="54" applyNumberFormat="1" applyFont="1" applyFill="1" applyBorder="1" applyAlignment="1">
      <alignment horizontal="center"/>
      <protection/>
    </xf>
    <xf numFmtId="9" fontId="24" fillId="37" borderId="13" xfId="57" applyFont="1" applyFill="1" applyBorder="1" applyAlignment="1">
      <alignment/>
    </xf>
    <xf numFmtId="0" fontId="23" fillId="0" borderId="14" xfId="54" applyFont="1" applyBorder="1">
      <alignment/>
      <protection/>
    </xf>
    <xf numFmtId="0" fontId="23" fillId="0" borderId="14" xfId="54" applyFont="1" applyBorder="1" applyAlignment="1">
      <alignment wrapText="1"/>
      <protection/>
    </xf>
    <xf numFmtId="168" fontId="23" fillId="0" borderId="14" xfId="54" applyNumberFormat="1" applyFont="1" applyFill="1" applyBorder="1" applyAlignment="1">
      <alignment horizontal="center"/>
      <protection/>
    </xf>
    <xf numFmtId="0" fontId="29" fillId="39" borderId="13" xfId="54" applyFont="1" applyFill="1" applyBorder="1" applyAlignment="1">
      <alignment vertical="center" wrapText="1"/>
      <protection/>
    </xf>
    <xf numFmtId="0" fontId="23" fillId="39" borderId="13" xfId="54" applyFont="1" applyFill="1" applyBorder="1" applyAlignment="1">
      <alignment wrapText="1"/>
      <protection/>
    </xf>
    <xf numFmtId="167" fontId="23" fillId="39" borderId="13" xfId="54" applyNumberFormat="1" applyFont="1" applyFill="1" applyBorder="1" applyAlignment="1">
      <alignment wrapText="1"/>
      <protection/>
    </xf>
    <xf numFmtId="0" fontId="24" fillId="0" borderId="0" xfId="54" applyFont="1">
      <alignment/>
      <protection/>
    </xf>
    <xf numFmtId="167" fontId="12" fillId="0" borderId="0" xfId="54" applyNumberFormat="1" applyFont="1" applyFill="1">
      <alignment/>
      <protection/>
    </xf>
    <xf numFmtId="168" fontId="12" fillId="0" borderId="0" xfId="54" applyNumberFormat="1" applyFont="1" applyFill="1">
      <alignment/>
      <protection/>
    </xf>
    <xf numFmtId="168" fontId="12" fillId="0" borderId="0" xfId="54" applyNumberFormat="1" applyFont="1">
      <alignment/>
      <protection/>
    </xf>
    <xf numFmtId="4" fontId="24" fillId="0" borderId="0" xfId="54" applyNumberFormat="1" applyFont="1">
      <alignment/>
      <protection/>
    </xf>
    <xf numFmtId="169" fontId="12" fillId="0" borderId="0" xfId="54" applyNumberFormat="1" applyFont="1" applyFill="1">
      <alignment/>
      <protection/>
    </xf>
    <xf numFmtId="167" fontId="12" fillId="0" borderId="0" xfId="54" applyNumberFormat="1" applyFont="1">
      <alignment/>
      <protection/>
    </xf>
    <xf numFmtId="167" fontId="14" fillId="0" borderId="0" xfId="54" applyNumberFormat="1" applyFill="1">
      <alignment/>
      <protection/>
    </xf>
    <xf numFmtId="0" fontId="12" fillId="0" borderId="0" xfId="54" applyFont="1" applyFill="1">
      <alignment/>
      <protection/>
    </xf>
    <xf numFmtId="4" fontId="12" fillId="0" borderId="0" xfId="54" applyNumberFormat="1" applyFont="1" applyFill="1">
      <alignment/>
      <protection/>
    </xf>
    <xf numFmtId="4" fontId="12" fillId="0" borderId="0" xfId="54" applyNumberFormat="1" applyFont="1">
      <alignment/>
      <protection/>
    </xf>
    <xf numFmtId="4" fontId="14" fillId="0" borderId="0" xfId="54" applyNumberFormat="1">
      <alignment/>
      <protection/>
    </xf>
    <xf numFmtId="0" fontId="32" fillId="0" borderId="0" xfId="54" applyFont="1" applyBorder="1" applyAlignment="1">
      <alignment horizontal="left" vertical="center"/>
      <protection/>
    </xf>
    <xf numFmtId="0" fontId="25" fillId="0" borderId="14" xfId="54" applyFont="1" applyBorder="1" applyAlignment="1">
      <alignment/>
      <protection/>
    </xf>
    <xf numFmtId="0" fontId="25" fillId="0" borderId="13" xfId="54" applyFont="1" applyFill="1" applyBorder="1" applyAlignment="1">
      <alignment horizontal="center"/>
      <protection/>
    </xf>
    <xf numFmtId="0" fontId="25" fillId="0" borderId="13" xfId="54" applyFont="1" applyBorder="1" applyAlignment="1">
      <alignment horizontal="center" wrapText="1"/>
      <protection/>
    </xf>
    <xf numFmtId="0" fontId="25" fillId="0" borderId="13" xfId="54" applyFont="1" applyBorder="1" applyAlignment="1">
      <alignment wrapText="1"/>
      <protection/>
    </xf>
    <xf numFmtId="0" fontId="34" fillId="0" borderId="13" xfId="54" applyFont="1" applyFill="1" applyBorder="1">
      <alignment/>
      <protection/>
    </xf>
    <xf numFmtId="0" fontId="34" fillId="0" borderId="13" xfId="54" applyFont="1" applyBorder="1">
      <alignment/>
      <protection/>
    </xf>
    <xf numFmtId="0" fontId="35" fillId="0" borderId="13" xfId="54" applyFont="1" applyBorder="1">
      <alignment/>
      <protection/>
    </xf>
    <xf numFmtId="0" fontId="14" fillId="0" borderId="13" xfId="54" applyBorder="1" applyAlignment="1">
      <alignment wrapText="1"/>
      <protection/>
    </xf>
    <xf numFmtId="0" fontId="35" fillId="0" borderId="13" xfId="54" applyFont="1" applyFill="1" applyBorder="1">
      <alignment/>
      <protection/>
    </xf>
    <xf numFmtId="0" fontId="35" fillId="41" borderId="13" xfId="54" applyFont="1" applyFill="1" applyBorder="1">
      <alignment/>
      <protection/>
    </xf>
    <xf numFmtId="0" fontId="25" fillId="0" borderId="13" xfId="54" applyFont="1" applyFill="1" applyBorder="1" applyAlignment="1">
      <alignment wrapText="1"/>
      <protection/>
    </xf>
    <xf numFmtId="4" fontId="34" fillId="0" borderId="13" xfId="54" applyNumberFormat="1" applyFont="1" applyFill="1" applyBorder="1">
      <alignment/>
      <protection/>
    </xf>
    <xf numFmtId="3" fontId="34" fillId="0" borderId="13" xfId="54" applyNumberFormat="1" applyFont="1" applyFill="1" applyBorder="1">
      <alignment/>
      <protection/>
    </xf>
    <xf numFmtId="3" fontId="14" fillId="0" borderId="0" xfId="54" applyNumberFormat="1">
      <alignment/>
      <protection/>
    </xf>
    <xf numFmtId="0" fontId="14" fillId="0" borderId="13" xfId="54" applyFont="1" applyFill="1" applyBorder="1" applyAlignment="1">
      <alignment wrapText="1"/>
      <protection/>
    </xf>
    <xf numFmtId="4" fontId="35" fillId="0" borderId="13" xfId="54" applyNumberFormat="1" applyFont="1" applyFill="1" applyBorder="1">
      <alignment/>
      <protection/>
    </xf>
    <xf numFmtId="3" fontId="35" fillId="0" borderId="13" xfId="54" applyNumberFormat="1" applyFont="1" applyFill="1" applyBorder="1">
      <alignment/>
      <protection/>
    </xf>
    <xf numFmtId="3" fontId="34" fillId="33" borderId="13" xfId="54" applyNumberFormat="1" applyFont="1" applyFill="1" applyBorder="1">
      <alignment/>
      <protection/>
    </xf>
    <xf numFmtId="4" fontId="34" fillId="0" borderId="13" xfId="54" applyNumberFormat="1" applyFont="1" applyBorder="1">
      <alignment/>
      <protection/>
    </xf>
    <xf numFmtId="0" fontId="25" fillId="0" borderId="13" xfId="54" applyFont="1" applyFill="1" applyBorder="1">
      <alignment/>
      <protection/>
    </xf>
    <xf numFmtId="0" fontId="34" fillId="41" borderId="13" xfId="54" applyFont="1" applyFill="1" applyBorder="1">
      <alignment/>
      <protection/>
    </xf>
    <xf numFmtId="0" fontId="14" fillId="0" borderId="0" xfId="54" applyAlignment="1">
      <alignment horizontal="left"/>
      <protection/>
    </xf>
    <xf numFmtId="0" fontId="14" fillId="0" borderId="0" xfId="54" applyBorder="1">
      <alignment/>
      <protection/>
    </xf>
    <xf numFmtId="0" fontId="14" fillId="0" borderId="18" xfId="54" applyBorder="1">
      <alignment/>
      <protection/>
    </xf>
    <xf numFmtId="0" fontId="14" fillId="0" borderId="13" xfId="54" applyBorder="1">
      <alignment/>
      <protection/>
    </xf>
    <xf numFmtId="0" fontId="14" fillId="0" borderId="13" xfId="54" applyFill="1" applyBorder="1" applyAlignment="1">
      <alignment wrapText="1"/>
      <protection/>
    </xf>
    <xf numFmtId="3" fontId="34" fillId="40" borderId="13" xfId="54" applyNumberFormat="1" applyFont="1" applyFill="1" applyBorder="1" applyAlignment="1">
      <alignment wrapText="1"/>
      <protection/>
    </xf>
    <xf numFmtId="0" fontId="25" fillId="0" borderId="18" xfId="54" applyFont="1" applyBorder="1" applyAlignment="1">
      <alignment wrapText="1"/>
      <protection/>
    </xf>
    <xf numFmtId="0" fontId="25" fillId="0" borderId="21" xfId="54" applyFont="1" applyFill="1" applyBorder="1">
      <alignment/>
      <protection/>
    </xf>
    <xf numFmtId="4" fontId="25" fillId="0" borderId="21" xfId="54" applyNumberFormat="1" applyFont="1" applyFill="1" applyBorder="1">
      <alignment/>
      <protection/>
    </xf>
    <xf numFmtId="4" fontId="25" fillId="0" borderId="22" xfId="54" applyNumberFormat="1" applyFont="1" applyFill="1" applyBorder="1">
      <alignment/>
      <protection/>
    </xf>
    <xf numFmtId="4" fontId="25" fillId="0" borderId="23" xfId="54" applyNumberFormat="1" applyFont="1" applyFill="1" applyBorder="1">
      <alignment/>
      <protection/>
    </xf>
    <xf numFmtId="4" fontId="25" fillId="0" borderId="0" xfId="54" applyNumberFormat="1" applyFont="1" applyBorder="1">
      <alignment/>
      <protection/>
    </xf>
    <xf numFmtId="0" fontId="25" fillId="0" borderId="24" xfId="54" applyFont="1" applyFill="1" applyBorder="1">
      <alignment/>
      <protection/>
    </xf>
    <xf numFmtId="4" fontId="25" fillId="0" borderId="24" xfId="54" applyNumberFormat="1" applyFont="1" applyFill="1" applyBorder="1">
      <alignment/>
      <protection/>
    </xf>
    <xf numFmtId="4" fontId="25" fillId="0" borderId="16" xfId="54" applyNumberFormat="1" applyFont="1" applyFill="1" applyBorder="1">
      <alignment/>
      <protection/>
    </xf>
    <xf numFmtId="4" fontId="25" fillId="0" borderId="14" xfId="54" applyNumberFormat="1" applyFont="1" applyFill="1" applyBorder="1">
      <alignment/>
      <protection/>
    </xf>
    <xf numFmtId="3" fontId="37" fillId="0" borderId="14" xfId="54" applyNumberFormat="1" applyFont="1" applyBorder="1">
      <alignment/>
      <protection/>
    </xf>
    <xf numFmtId="3" fontId="37" fillId="0" borderId="13" xfId="54" applyNumberFormat="1" applyFont="1" applyBorder="1">
      <alignment/>
      <protection/>
    </xf>
    <xf numFmtId="0" fontId="40" fillId="0" borderId="0" xfId="54" applyFont="1" applyBorder="1" applyAlignment="1">
      <alignment horizontal="left" vertical="center"/>
      <protection/>
    </xf>
    <xf numFmtId="0" fontId="35" fillId="0" borderId="0" xfId="54" applyFont="1">
      <alignment/>
      <protection/>
    </xf>
    <xf numFmtId="0" fontId="33" fillId="0" borderId="0" xfId="54" applyFont="1" applyBorder="1" applyAlignment="1">
      <alignment horizontal="left"/>
      <protection/>
    </xf>
    <xf numFmtId="0" fontId="41" fillId="0" borderId="0" xfId="54" applyFont="1" applyBorder="1" applyAlignment="1">
      <alignment horizontal="right"/>
      <protection/>
    </xf>
    <xf numFmtId="0" fontId="20" fillId="0" borderId="13" xfId="54" applyFont="1" applyBorder="1">
      <alignment/>
      <protection/>
    </xf>
    <xf numFmtId="0" fontId="20" fillId="0" borderId="13" xfId="54" applyFont="1" applyBorder="1" applyAlignment="1">
      <alignment horizontal="left"/>
      <protection/>
    </xf>
    <xf numFmtId="0" fontId="20" fillId="0" borderId="13" xfId="54" applyFont="1" applyBorder="1" applyAlignment="1">
      <alignment horizontal="center"/>
      <protection/>
    </xf>
    <xf numFmtId="0" fontId="20" fillId="0" borderId="13" xfId="54" applyFont="1" applyBorder="1" applyAlignment="1">
      <alignment horizontal="center" wrapText="1"/>
      <protection/>
    </xf>
    <xf numFmtId="0" fontId="42" fillId="0" borderId="13" xfId="54" applyFont="1" applyBorder="1" applyAlignment="1">
      <alignment horizontal="center"/>
      <protection/>
    </xf>
    <xf numFmtId="0" fontId="14" fillId="0" borderId="13" xfId="54" applyFont="1" applyBorder="1" applyAlignment="1">
      <alignment horizontal="left"/>
      <protection/>
    </xf>
    <xf numFmtId="49" fontId="25" fillId="0" borderId="13" xfId="54" applyNumberFormat="1" applyFont="1" applyBorder="1">
      <alignment/>
      <protection/>
    </xf>
    <xf numFmtId="4" fontId="25" fillId="0" borderId="13" xfId="54" applyNumberFormat="1" applyFont="1" applyBorder="1">
      <alignment/>
      <protection/>
    </xf>
    <xf numFmtId="49" fontId="43" fillId="0" borderId="13" xfId="54" applyNumberFormat="1" applyFont="1" applyBorder="1">
      <alignment/>
      <protection/>
    </xf>
    <xf numFmtId="4" fontId="43" fillId="0" borderId="13" xfId="54" applyNumberFormat="1" applyFont="1" applyBorder="1">
      <alignment/>
      <protection/>
    </xf>
    <xf numFmtId="49" fontId="25" fillId="0" borderId="13" xfId="54" applyNumberFormat="1" applyFont="1" applyBorder="1" applyAlignment="1">
      <alignment wrapText="1"/>
      <protection/>
    </xf>
    <xf numFmtId="0" fontId="14" fillId="0" borderId="13" xfId="54" applyBorder="1" applyAlignment="1">
      <alignment horizontal="left"/>
      <protection/>
    </xf>
    <xf numFmtId="49" fontId="43" fillId="0" borderId="13" xfId="54" applyNumberFormat="1" applyFont="1" applyBorder="1" applyAlignment="1">
      <alignment wrapText="1"/>
      <protection/>
    </xf>
    <xf numFmtId="49" fontId="25" fillId="41" borderId="13" xfId="54" applyNumberFormat="1" applyFont="1" applyFill="1" applyBorder="1">
      <alignment/>
      <protection/>
    </xf>
    <xf numFmtId="4" fontId="25" fillId="41" borderId="13" xfId="54" applyNumberFormat="1" applyFont="1" applyFill="1" applyBorder="1">
      <alignment/>
      <protection/>
    </xf>
    <xf numFmtId="49" fontId="25" fillId="0" borderId="0" xfId="54" applyNumberFormat="1" applyFont="1">
      <alignment/>
      <protection/>
    </xf>
    <xf numFmtId="49" fontId="14" fillId="0" borderId="13" xfId="54" applyNumberFormat="1" applyBorder="1">
      <alignment/>
      <protection/>
    </xf>
    <xf numFmtId="4" fontId="14" fillId="0" borderId="13" xfId="54" applyNumberFormat="1" applyBorder="1">
      <alignment/>
      <protection/>
    </xf>
    <xf numFmtId="49" fontId="14" fillId="0" borderId="13" xfId="54" applyNumberFormat="1" applyBorder="1" applyAlignment="1">
      <alignment wrapText="1"/>
      <protection/>
    </xf>
    <xf numFmtId="4" fontId="14" fillId="0" borderId="13" xfId="54" applyNumberFormat="1" applyFill="1" applyBorder="1">
      <alignment/>
      <protection/>
    </xf>
    <xf numFmtId="4" fontId="44" fillId="0" borderId="13" xfId="54" applyNumberFormat="1" applyFont="1" applyBorder="1">
      <alignment/>
      <protection/>
    </xf>
    <xf numFmtId="0" fontId="25" fillId="0" borderId="0" xfId="54" applyFont="1" applyAlignment="1">
      <alignment horizontal="center"/>
      <protection/>
    </xf>
    <xf numFmtId="49" fontId="14" fillId="0" borderId="0" xfId="54" applyNumberFormat="1">
      <alignment/>
      <protection/>
    </xf>
    <xf numFmtId="0" fontId="20" fillId="0" borderId="13" xfId="54" applyFont="1" applyBorder="1" applyAlignment="1">
      <alignment horizontal="left" wrapText="1"/>
      <protection/>
    </xf>
    <xf numFmtId="4" fontId="14" fillId="0" borderId="0" xfId="54" applyNumberFormat="1" applyFill="1" applyBorder="1">
      <alignment/>
      <protection/>
    </xf>
    <xf numFmtId="49" fontId="25" fillId="41" borderId="13" xfId="54" applyNumberFormat="1" applyFont="1" applyFill="1" applyBorder="1" applyAlignment="1">
      <alignment wrapText="1"/>
      <protection/>
    </xf>
    <xf numFmtId="4" fontId="14" fillId="0" borderId="0" xfId="54" applyNumberFormat="1" applyBorder="1">
      <alignment/>
      <protection/>
    </xf>
    <xf numFmtId="4" fontId="43" fillId="0" borderId="0" xfId="54" applyNumberFormat="1" applyFont="1" applyBorder="1">
      <alignment/>
      <protection/>
    </xf>
    <xf numFmtId="0" fontId="14" fillId="0" borderId="0" xfId="54" applyAlignment="1">
      <alignment wrapText="1"/>
      <protection/>
    </xf>
    <xf numFmtId="164" fontId="10" fillId="33" borderId="10" xfId="0" applyNumberFormat="1" applyFont="1" applyFill="1" applyBorder="1" applyAlignment="1">
      <alignment horizontal="right"/>
    </xf>
    <xf numFmtId="164" fontId="11" fillId="0" borderId="11" xfId="0" applyNumberFormat="1" applyFont="1" applyBorder="1" applyAlignment="1">
      <alignment horizontal="right"/>
    </xf>
    <xf numFmtId="167" fontId="14" fillId="0" borderId="0" xfId="54" applyNumberFormat="1" applyFont="1">
      <alignment/>
      <protection/>
    </xf>
    <xf numFmtId="10" fontId="0" fillId="0" borderId="0" xfId="56" applyNumberFormat="1" applyFont="1" applyFill="1" applyBorder="1" applyAlignment="1">
      <alignment horizontal="left"/>
    </xf>
    <xf numFmtId="164" fontId="10" fillId="33" borderId="25" xfId="0" applyNumberFormat="1" applyFont="1" applyFill="1" applyBorder="1" applyAlignment="1">
      <alignment horizontal="right"/>
    </xf>
    <xf numFmtId="164" fontId="10" fillId="0" borderId="25" xfId="0" applyNumberFormat="1" applyFont="1" applyFill="1" applyBorder="1" applyAlignment="1">
      <alignment horizontal="right"/>
    </xf>
    <xf numFmtId="164" fontId="10" fillId="36" borderId="25" xfId="0" applyNumberFormat="1" applyFont="1" applyFill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0" fontId="33" fillId="0" borderId="21" xfId="54" applyFont="1" applyBorder="1" applyAlignment="1">
      <alignment horizontal="left"/>
      <protection/>
    </xf>
    <xf numFmtId="164" fontId="10" fillId="0" borderId="11" xfId="0" applyNumberFormat="1" applyFont="1" applyBorder="1" applyAlignment="1">
      <alignment horizontal="right"/>
    </xf>
    <xf numFmtId="164" fontId="11" fillId="33" borderId="11" xfId="0" applyNumberFormat="1" applyFont="1" applyFill="1" applyBorder="1" applyAlignment="1">
      <alignment horizontal="right"/>
    </xf>
    <xf numFmtId="0" fontId="15" fillId="39" borderId="18" xfId="54" applyFont="1" applyFill="1" applyBorder="1" applyAlignment="1">
      <alignment horizontal="left" wrapText="1"/>
      <protection/>
    </xf>
    <xf numFmtId="164" fontId="11" fillId="0" borderId="26" xfId="0" applyNumberFormat="1" applyFont="1" applyFill="1" applyBorder="1" applyAlignment="1">
      <alignment horizontal="right"/>
    </xf>
    <xf numFmtId="10" fontId="14" fillId="0" borderId="0" xfId="56" applyNumberFormat="1" applyFont="1" applyAlignment="1">
      <alignment/>
    </xf>
    <xf numFmtId="170" fontId="12" fillId="0" borderId="0" xfId="54" applyNumberFormat="1" applyFont="1" applyFill="1">
      <alignment/>
      <protection/>
    </xf>
    <xf numFmtId="0" fontId="10" fillId="0" borderId="27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35" borderId="27" xfId="0" applyFont="1" applyFill="1" applyBorder="1" applyAlignment="1">
      <alignment horizontal="center" wrapText="1"/>
    </xf>
    <xf numFmtId="0" fontId="10" fillId="35" borderId="28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34" borderId="27" xfId="0" applyFont="1" applyFill="1" applyBorder="1" applyAlignment="1">
      <alignment horizontal="center" wrapText="1"/>
    </xf>
    <xf numFmtId="0" fontId="10" fillId="34" borderId="28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6" fillId="0" borderId="0" xfId="54" applyFont="1" applyBorder="1" applyAlignment="1">
      <alignment horizontal="left" vertical="center"/>
      <protection/>
    </xf>
    <xf numFmtId="0" fontId="20" fillId="37" borderId="0" xfId="54" applyFont="1" applyFill="1" applyBorder="1" applyAlignment="1">
      <alignment horizontal="center"/>
      <protection/>
    </xf>
    <xf numFmtId="0" fontId="20" fillId="0" borderId="24" xfId="54" applyFont="1" applyBorder="1" applyAlignment="1">
      <alignment horizontal="center"/>
      <protection/>
    </xf>
    <xf numFmtId="0" fontId="20" fillId="0" borderId="16" xfId="54" applyFont="1" applyBorder="1" applyAlignment="1">
      <alignment horizontal="center"/>
      <protection/>
    </xf>
    <xf numFmtId="0" fontId="18" fillId="0" borderId="0" xfId="54" applyFont="1" applyBorder="1" applyAlignment="1">
      <alignment horizontal="left" vertic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Fill="1" applyBorder="1" applyAlignment="1">
      <alignment horizontal="center" wrapText="1"/>
      <protection/>
    </xf>
    <xf numFmtId="0" fontId="25" fillId="33" borderId="12" xfId="54" applyFont="1" applyFill="1" applyBorder="1" applyAlignment="1">
      <alignment horizontal="left" wrapText="1"/>
      <protection/>
    </xf>
    <xf numFmtId="0" fontId="25" fillId="33" borderId="24" xfId="54" applyFont="1" applyFill="1" applyBorder="1" applyAlignment="1">
      <alignment horizontal="left" wrapText="1"/>
      <protection/>
    </xf>
    <xf numFmtId="0" fontId="34" fillId="0" borderId="29" xfId="54" applyFont="1" applyFill="1" applyBorder="1" applyAlignment="1">
      <alignment horizontal="center" wrapText="1"/>
      <protection/>
    </xf>
    <xf numFmtId="0" fontId="34" fillId="0" borderId="21" xfId="54" applyFont="1" applyFill="1" applyBorder="1" applyAlignment="1">
      <alignment horizontal="center" wrapText="1"/>
      <protection/>
    </xf>
    <xf numFmtId="0" fontId="36" fillId="0" borderId="12" xfId="54" applyFont="1" applyBorder="1" applyAlignment="1">
      <alignment horizontal="right"/>
      <protection/>
    </xf>
    <xf numFmtId="0" fontId="36" fillId="0" borderId="24" xfId="54" applyFont="1" applyBorder="1" applyAlignment="1">
      <alignment horizontal="right"/>
      <protection/>
    </xf>
    <xf numFmtId="0" fontId="36" fillId="0" borderId="16" xfId="54" applyFont="1" applyBorder="1" applyAlignment="1">
      <alignment horizontal="right"/>
      <protection/>
    </xf>
    <xf numFmtId="0" fontId="36" fillId="0" borderId="13" xfId="54" applyFont="1" applyBorder="1" applyAlignment="1">
      <alignment horizontal="right"/>
      <protection/>
    </xf>
    <xf numFmtId="0" fontId="34" fillId="40" borderId="12" xfId="54" applyFont="1" applyFill="1" applyBorder="1" applyAlignment="1">
      <alignment horizontal="left" wrapText="1"/>
      <protection/>
    </xf>
    <xf numFmtId="0" fontId="34" fillId="40" borderId="24" xfId="54" applyFont="1" applyFill="1" applyBorder="1" applyAlignment="1">
      <alignment horizontal="left" wrapText="1"/>
      <protection/>
    </xf>
    <xf numFmtId="0" fontId="34" fillId="40" borderId="16" xfId="54" applyFont="1" applyFill="1" applyBorder="1" applyAlignment="1">
      <alignment horizontal="left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-kd\KWESTURA\BUDZETY\PLANY\PLAN%202013\PLAN%202013%20-%20WYK%202012%206.06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przychody działalności "/>
      <sheetName val="czesne"/>
      <sheetName val="koszty operacyjne  "/>
      <sheetName val="Arkusz1"/>
    </sheetNames>
    <sheetDataSet>
      <sheetData sheetId="2">
        <row r="16">
          <cell r="H16">
            <v>33748266.66666667</v>
          </cell>
        </row>
        <row r="29">
          <cell r="H29">
            <v>1918706.6666666667</v>
          </cell>
        </row>
        <row r="43">
          <cell r="H43">
            <v>396800</v>
          </cell>
        </row>
        <row r="55">
          <cell r="H55">
            <v>325366.3333333333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" sqref="G2"/>
    </sheetView>
  </sheetViews>
  <sheetFormatPr defaultColWidth="9.140625" defaultRowHeight="12.75"/>
  <cols>
    <col min="1" max="1" width="7.140625" style="0" customWidth="1"/>
    <col min="2" max="2" width="26.00390625" style="0" customWidth="1"/>
    <col min="3" max="4" width="15.28125" style="46" customWidth="1"/>
    <col min="5" max="7" width="15.00390625" style="0" customWidth="1"/>
    <col min="8" max="8" width="14.7109375" style="0" customWidth="1"/>
    <col min="9" max="9" width="12.8515625" style="0" customWidth="1"/>
    <col min="10" max="10" width="11.8515625" style="0" customWidth="1"/>
    <col min="11" max="11" width="12.28125" style="0" customWidth="1"/>
    <col min="12" max="12" width="11.8515625" style="0" customWidth="1"/>
    <col min="13" max="13" width="12.28125" style="0" customWidth="1"/>
    <col min="14" max="14" width="13.8515625" style="0" customWidth="1"/>
    <col min="15" max="15" width="14.28125" style="0" customWidth="1"/>
    <col min="16" max="16" width="14.140625" style="0" customWidth="1"/>
    <col min="17" max="17" width="12.421875" style="0" customWidth="1"/>
    <col min="18" max="18" width="15.421875" style="0" customWidth="1"/>
    <col min="19" max="20" width="9.140625" style="0" customWidth="1"/>
    <col min="21" max="21" width="13.00390625" style="0" customWidth="1"/>
  </cols>
  <sheetData>
    <row r="1" spans="1:15" s="4" customFormat="1" ht="18.75">
      <c r="A1" s="1" t="s">
        <v>0</v>
      </c>
      <c r="B1" s="1"/>
      <c r="C1" s="2"/>
      <c r="D1" s="2"/>
      <c r="E1" s="1"/>
      <c r="F1" s="1"/>
      <c r="G1" s="1"/>
      <c r="H1" s="1"/>
      <c r="I1" s="3"/>
      <c r="J1" s="1"/>
      <c r="K1" s="1"/>
      <c r="L1" s="1"/>
      <c r="M1" s="1"/>
      <c r="N1" s="1"/>
      <c r="O1" s="1"/>
    </row>
    <row r="2" spans="1:15" s="4" customFormat="1" ht="12.75">
      <c r="A2" s="5" t="s">
        <v>1</v>
      </c>
      <c r="B2" s="5"/>
      <c r="C2" s="6"/>
      <c r="D2" s="6"/>
      <c r="E2" s="41"/>
      <c r="F2" s="7"/>
      <c r="G2" s="8"/>
      <c r="H2" s="9"/>
      <c r="I2" s="10"/>
      <c r="J2" s="11"/>
      <c r="K2" s="10"/>
      <c r="L2" s="5"/>
      <c r="M2" s="5"/>
      <c r="N2" s="5"/>
      <c r="O2" s="5"/>
    </row>
    <row r="3" spans="1:15" s="4" customFormat="1" ht="15.75">
      <c r="A3" s="12" t="s">
        <v>333</v>
      </c>
      <c r="B3" s="12"/>
      <c r="C3" s="13"/>
      <c r="D3" s="13"/>
      <c r="E3" s="14"/>
      <c r="F3" s="14"/>
      <c r="G3" s="14"/>
      <c r="H3" s="9"/>
      <c r="I3" s="12"/>
      <c r="J3" s="12"/>
      <c r="K3" s="12"/>
      <c r="L3" s="12"/>
      <c r="M3" s="15"/>
      <c r="N3" s="12"/>
      <c r="O3" s="12"/>
    </row>
    <row r="4" spans="1:15" s="4" customFormat="1" ht="12.75">
      <c r="A4" s="5" t="s">
        <v>1</v>
      </c>
      <c r="B4" s="5"/>
      <c r="C4" s="6"/>
      <c r="D4" s="6"/>
      <c r="E4" s="5"/>
      <c r="F4" s="7"/>
      <c r="G4" s="5"/>
      <c r="H4" s="5"/>
      <c r="I4" s="5"/>
      <c r="J4" s="5"/>
      <c r="K4" s="5"/>
      <c r="L4" s="5"/>
      <c r="M4" s="5"/>
      <c r="N4" s="5"/>
      <c r="O4" s="5"/>
    </row>
    <row r="5" spans="1:15" s="4" customFormat="1" ht="32.25" customHeight="1">
      <c r="A5" s="225" t="s">
        <v>2</v>
      </c>
      <c r="B5" s="225" t="s">
        <v>3</v>
      </c>
      <c r="C5" s="220" t="s">
        <v>332</v>
      </c>
      <c r="D5" s="220" t="s">
        <v>330</v>
      </c>
      <c r="E5" s="229" t="s">
        <v>322</v>
      </c>
      <c r="F5" s="220" t="s">
        <v>321</v>
      </c>
      <c r="G5" s="229" t="s">
        <v>4</v>
      </c>
      <c r="H5" s="220" t="s">
        <v>5</v>
      </c>
      <c r="I5" s="220" t="s">
        <v>6</v>
      </c>
      <c r="J5" s="220" t="s">
        <v>7</v>
      </c>
      <c r="K5" s="220" t="s">
        <v>8</v>
      </c>
      <c r="L5" s="220" t="s">
        <v>9</v>
      </c>
      <c r="M5" s="220" t="s">
        <v>10</v>
      </c>
      <c r="N5" s="220" t="s">
        <v>11</v>
      </c>
      <c r="O5" s="222" t="s">
        <v>12</v>
      </c>
    </row>
    <row r="6" spans="1:15" s="4" customFormat="1" ht="12.75">
      <c r="A6" s="226"/>
      <c r="B6" s="226"/>
      <c r="C6" s="221"/>
      <c r="D6" s="221"/>
      <c r="E6" s="230"/>
      <c r="F6" s="221"/>
      <c r="G6" s="230"/>
      <c r="H6" s="221"/>
      <c r="I6" s="221"/>
      <c r="J6" s="221"/>
      <c r="K6" s="221"/>
      <c r="L6" s="221"/>
      <c r="M6" s="221"/>
      <c r="N6" s="221"/>
      <c r="O6" s="223"/>
    </row>
    <row r="7" spans="1:15" s="4" customFormat="1" ht="17.25" customHeight="1">
      <c r="A7" s="227"/>
      <c r="B7" s="227"/>
      <c r="C7" s="228"/>
      <c r="D7" s="228"/>
      <c r="E7" s="231"/>
      <c r="F7" s="228"/>
      <c r="G7" s="231"/>
      <c r="H7" s="17">
        <v>2015</v>
      </c>
      <c r="I7" s="17">
        <v>2015</v>
      </c>
      <c r="J7" s="17">
        <v>2015</v>
      </c>
      <c r="K7" s="17">
        <v>2015</v>
      </c>
      <c r="L7" s="17">
        <v>2015</v>
      </c>
      <c r="M7" s="17">
        <v>2015</v>
      </c>
      <c r="N7" s="17">
        <v>2015</v>
      </c>
      <c r="O7" s="224"/>
    </row>
    <row r="8" spans="1:18" s="4" customFormat="1" ht="12.75">
      <c r="A8" s="18" t="s">
        <v>13</v>
      </c>
      <c r="B8" s="18" t="s">
        <v>14</v>
      </c>
      <c r="C8" s="19">
        <v>126175733.19</v>
      </c>
      <c r="D8" s="209">
        <f aca="true" t="shared" si="0" ref="D8:M8">SUM(D9:D18)</f>
        <v>157355780.75</v>
      </c>
      <c r="E8" s="19">
        <f t="shared" si="0"/>
        <v>134717100</v>
      </c>
      <c r="F8" s="205">
        <f t="shared" si="0"/>
        <v>134570746.76999998</v>
      </c>
      <c r="G8" s="19">
        <f t="shared" si="0"/>
        <v>144139159.99666667</v>
      </c>
      <c r="H8" s="19">
        <f t="shared" si="0"/>
        <v>4843780</v>
      </c>
      <c r="I8" s="19">
        <f t="shared" si="0"/>
        <v>6574930</v>
      </c>
      <c r="J8" s="19">
        <f t="shared" si="0"/>
        <v>800245</v>
      </c>
      <c r="K8" s="19">
        <f t="shared" si="0"/>
        <v>1977078</v>
      </c>
      <c r="L8" s="19">
        <f t="shared" si="0"/>
        <v>5512800</v>
      </c>
      <c r="M8" s="19">
        <f t="shared" si="0"/>
        <v>4845333</v>
      </c>
      <c r="N8" s="19">
        <f>SUM(H8:M8)</f>
        <v>24554166</v>
      </c>
      <c r="O8" s="19">
        <f aca="true" t="shared" si="1" ref="O8:O24">G8+N8</f>
        <v>168693325.99666667</v>
      </c>
      <c r="P8" s="21"/>
      <c r="Q8" s="20"/>
      <c r="R8" s="20"/>
    </row>
    <row r="9" spans="1:18" s="4" customFormat="1" ht="12.75">
      <c r="A9" s="22" t="s">
        <v>15</v>
      </c>
      <c r="B9" s="22" t="s">
        <v>16</v>
      </c>
      <c r="C9" s="206">
        <v>83476100</v>
      </c>
      <c r="D9" s="217">
        <v>94659400</v>
      </c>
      <c r="E9" s="24">
        <f>85799300+8108100</f>
        <v>93907400</v>
      </c>
      <c r="F9" s="206">
        <v>94659400</v>
      </c>
      <c r="G9" s="24">
        <f>8896800+94398000</f>
        <v>103294800</v>
      </c>
      <c r="H9" s="25">
        <v>0</v>
      </c>
      <c r="I9" s="26"/>
      <c r="J9" s="23"/>
      <c r="K9" s="23"/>
      <c r="L9" s="23"/>
      <c r="M9" s="23"/>
      <c r="N9" s="27">
        <f aca="true" t="shared" si="2" ref="N9:N72">SUM(H9:M9)</f>
        <v>0</v>
      </c>
      <c r="O9" s="28">
        <f t="shared" si="1"/>
        <v>103294800</v>
      </c>
      <c r="P9" s="21"/>
      <c r="Q9" s="20"/>
      <c r="R9" s="20"/>
    </row>
    <row r="10" spans="1:18" s="4" customFormat="1" ht="12.75">
      <c r="A10" s="22" t="s">
        <v>17</v>
      </c>
      <c r="B10" s="22" t="s">
        <v>355</v>
      </c>
      <c r="C10" s="206">
        <v>673950</v>
      </c>
      <c r="D10" s="217">
        <v>665100</v>
      </c>
      <c r="E10" s="24">
        <v>650000</v>
      </c>
      <c r="F10" s="206">
        <v>665100</v>
      </c>
      <c r="G10" s="24">
        <f>1000000+670000</f>
        <v>1670000</v>
      </c>
      <c r="H10" s="25">
        <v>0</v>
      </c>
      <c r="I10" s="26"/>
      <c r="J10" s="23"/>
      <c r="K10" s="23"/>
      <c r="L10" s="23"/>
      <c r="M10" s="23"/>
      <c r="N10" s="27">
        <f t="shared" si="2"/>
        <v>0</v>
      </c>
      <c r="O10" s="28">
        <f t="shared" si="1"/>
        <v>1670000</v>
      </c>
      <c r="P10" s="21"/>
      <c r="Q10" s="20"/>
      <c r="R10" s="20"/>
    </row>
    <row r="11" spans="1:18" s="4" customFormat="1" ht="12.75">
      <c r="A11" s="22" t="s">
        <v>18</v>
      </c>
      <c r="B11" s="22" t="s">
        <v>266</v>
      </c>
      <c r="C11" s="206">
        <v>420300</v>
      </c>
      <c r="D11" s="217">
        <v>422400</v>
      </c>
      <c r="E11" s="24">
        <v>422400</v>
      </c>
      <c r="F11" s="206">
        <v>422400</v>
      </c>
      <c r="G11" s="24">
        <v>448200</v>
      </c>
      <c r="H11" s="25">
        <v>0</v>
      </c>
      <c r="I11" s="26"/>
      <c r="J11" s="23"/>
      <c r="K11" s="23"/>
      <c r="L11" s="23"/>
      <c r="M11" s="23"/>
      <c r="N11" s="27">
        <f t="shared" si="2"/>
        <v>0</v>
      </c>
      <c r="O11" s="28">
        <f t="shared" si="1"/>
        <v>448200</v>
      </c>
      <c r="P11" s="21"/>
      <c r="Q11" s="20"/>
      <c r="R11" s="20"/>
    </row>
    <row r="12" spans="1:18" s="4" customFormat="1" ht="12.75">
      <c r="A12" s="22" t="s">
        <v>273</v>
      </c>
      <c r="B12" s="22" t="s">
        <v>19</v>
      </c>
      <c r="C12" s="206">
        <v>34840604.79</v>
      </c>
      <c r="D12" s="217">
        <v>40796599.22999999</v>
      </c>
      <c r="E12" s="24">
        <v>34420400</v>
      </c>
      <c r="F12" s="206">
        <f>'przychody działalności '!F8+'przychody działalności '!F9</f>
        <v>34087241.37</v>
      </c>
      <c r="G12" s="24">
        <f>'przychody działalności '!G8+'przychody działalności '!G9+0.03</f>
        <v>32157159.996666666</v>
      </c>
      <c r="H12" s="25">
        <v>0</v>
      </c>
      <c r="I12" s="26"/>
      <c r="J12" s="23"/>
      <c r="K12" s="23">
        <v>1977078</v>
      </c>
      <c r="L12" s="23">
        <v>5285000</v>
      </c>
      <c r="M12" s="23">
        <v>1100000</v>
      </c>
      <c r="N12" s="27">
        <f t="shared" si="2"/>
        <v>8362078</v>
      </c>
      <c r="O12" s="28">
        <f t="shared" si="1"/>
        <v>40519237.99666667</v>
      </c>
      <c r="P12" s="21"/>
      <c r="Q12" s="20"/>
      <c r="R12" s="20"/>
    </row>
    <row r="13" spans="1:18" s="4" customFormat="1" ht="12.75">
      <c r="A13" s="22" t="s">
        <v>274</v>
      </c>
      <c r="B13" s="22" t="s">
        <v>20</v>
      </c>
      <c r="C13" s="206">
        <v>3999566.68</v>
      </c>
      <c r="D13" s="217">
        <v>4394735.99</v>
      </c>
      <c r="E13" s="24">
        <f>3400000+100000</f>
        <v>3500000</v>
      </c>
      <c r="F13" s="206">
        <f>'przychody działalności '!F10</f>
        <v>3963153.3800000004</v>
      </c>
      <c r="G13" s="24">
        <f>'przychody działalności '!G10</f>
        <v>3900000</v>
      </c>
      <c r="H13" s="25">
        <v>0</v>
      </c>
      <c r="I13" s="26"/>
      <c r="J13" s="23"/>
      <c r="K13" s="23"/>
      <c r="L13" s="23">
        <v>15000</v>
      </c>
      <c r="M13" s="23"/>
      <c r="N13" s="27">
        <f t="shared" si="2"/>
        <v>15000</v>
      </c>
      <c r="O13" s="28">
        <f t="shared" si="1"/>
        <v>3915000</v>
      </c>
      <c r="P13" s="21"/>
      <c r="Q13" s="20"/>
      <c r="R13" s="20"/>
    </row>
    <row r="14" spans="1:18" s="4" customFormat="1" ht="12.75">
      <c r="A14" s="22" t="s">
        <v>275</v>
      </c>
      <c r="B14" s="22" t="s">
        <v>21</v>
      </c>
      <c r="C14" s="206">
        <v>3022476.2</v>
      </c>
      <c r="D14" s="217">
        <v>4092902.4099999997</v>
      </c>
      <c r="E14" s="24">
        <v>2727000</v>
      </c>
      <c r="F14" s="206">
        <f>'przychody działalności '!F12+0.01</f>
        <v>3346526.9799999995</v>
      </c>
      <c r="G14" s="24">
        <f>'przychody działalności '!G12</f>
        <v>2833000</v>
      </c>
      <c r="H14" s="25">
        <v>0</v>
      </c>
      <c r="I14" s="26"/>
      <c r="J14" s="23">
        <v>800245</v>
      </c>
      <c r="K14" s="23"/>
      <c r="M14" s="23">
        <v>700000</v>
      </c>
      <c r="N14" s="27">
        <f t="shared" si="2"/>
        <v>1500245</v>
      </c>
      <c r="O14" s="28">
        <f t="shared" si="1"/>
        <v>4333245</v>
      </c>
      <c r="P14" s="21"/>
      <c r="Q14" s="20"/>
      <c r="R14" s="20"/>
    </row>
    <row r="15" spans="1:18" s="4" customFormat="1" ht="12.75">
      <c r="A15" s="22" t="s">
        <v>276</v>
      </c>
      <c r="B15" s="22" t="s">
        <v>22</v>
      </c>
      <c r="C15" s="206">
        <v>0</v>
      </c>
      <c r="D15" s="217">
        <v>10304379.68</v>
      </c>
      <c r="E15" s="24"/>
      <c r="F15" s="206">
        <v>0</v>
      </c>
      <c r="G15" s="24"/>
      <c r="H15" s="25">
        <v>0</v>
      </c>
      <c r="I15" s="26">
        <v>6574930</v>
      </c>
      <c r="J15" s="23"/>
      <c r="K15" s="23"/>
      <c r="L15" s="23">
        <v>212800</v>
      </c>
      <c r="M15" s="23">
        <v>3045333</v>
      </c>
      <c r="N15" s="27">
        <f t="shared" si="2"/>
        <v>9833063</v>
      </c>
      <c r="O15" s="28">
        <f t="shared" si="1"/>
        <v>9833063</v>
      </c>
      <c r="P15" s="21"/>
      <c r="Q15" s="20"/>
      <c r="R15" s="20"/>
    </row>
    <row r="16" spans="1:18" s="4" customFormat="1" ht="12.75">
      <c r="A16" s="22" t="s">
        <v>277</v>
      </c>
      <c r="B16" s="22" t="s">
        <v>267</v>
      </c>
      <c r="C16" s="206">
        <v>0</v>
      </c>
      <c r="D16" s="217">
        <v>4593338.4</v>
      </c>
      <c r="E16" s="24"/>
      <c r="F16" s="206">
        <v>0</v>
      </c>
      <c r="G16" s="24"/>
      <c r="H16" s="25">
        <f>4843780</f>
        <v>4843780</v>
      </c>
      <c r="I16" s="26"/>
      <c r="J16" s="23"/>
      <c r="K16" s="23"/>
      <c r="L16" s="23"/>
      <c r="M16" s="23"/>
      <c r="N16" s="27">
        <f t="shared" si="2"/>
        <v>4843780</v>
      </c>
      <c r="O16" s="28">
        <f t="shared" si="1"/>
        <v>4843780</v>
      </c>
      <c r="P16" s="21"/>
      <c r="Q16" s="20"/>
      <c r="R16" s="20"/>
    </row>
    <row r="17" spans="1:18" s="4" customFormat="1" ht="12.75">
      <c r="A17" s="22" t="s">
        <v>278</v>
      </c>
      <c r="B17" s="22" t="s">
        <v>24</v>
      </c>
      <c r="C17" s="206">
        <v>-860388.56</v>
      </c>
      <c r="D17" s="217">
        <v>-3102369.77</v>
      </c>
      <c r="E17" s="24">
        <v>-1460100</v>
      </c>
      <c r="F17" s="206">
        <v>-3102369.77</v>
      </c>
      <c r="G17" s="24">
        <v>-694000</v>
      </c>
      <c r="H17" s="25">
        <v>0</v>
      </c>
      <c r="I17" s="26"/>
      <c r="J17" s="23"/>
      <c r="K17" s="23"/>
      <c r="L17" s="23"/>
      <c r="M17" s="23"/>
      <c r="N17" s="27">
        <f t="shared" si="2"/>
        <v>0</v>
      </c>
      <c r="O17" s="28">
        <f t="shared" si="1"/>
        <v>-694000</v>
      </c>
      <c r="P17" s="21"/>
      <c r="Q17" s="20"/>
      <c r="R17" s="20"/>
    </row>
    <row r="18" spans="1:18" s="4" customFormat="1" ht="12.75">
      <c r="A18" s="22" t="s">
        <v>279</v>
      </c>
      <c r="B18" s="22" t="s">
        <v>268</v>
      </c>
      <c r="C18" s="206">
        <v>603124.08</v>
      </c>
      <c r="D18" s="217">
        <v>529294.81</v>
      </c>
      <c r="E18" s="24">
        <v>550000</v>
      </c>
      <c r="F18" s="206">
        <v>529294.81</v>
      </c>
      <c r="G18" s="24">
        <v>530000</v>
      </c>
      <c r="H18" s="25">
        <v>0</v>
      </c>
      <c r="I18" s="26"/>
      <c r="J18" s="23"/>
      <c r="K18" s="23"/>
      <c r="L18" s="23"/>
      <c r="M18" s="23"/>
      <c r="N18" s="27">
        <f t="shared" si="2"/>
        <v>0</v>
      </c>
      <c r="O18" s="28">
        <f t="shared" si="1"/>
        <v>530000</v>
      </c>
      <c r="P18" s="21"/>
      <c r="Q18" s="20"/>
      <c r="R18" s="20"/>
    </row>
    <row r="19" spans="1:18" s="4" customFormat="1" ht="12.75">
      <c r="A19" s="29" t="s">
        <v>25</v>
      </c>
      <c r="B19" s="29" t="s">
        <v>26</v>
      </c>
      <c r="C19" s="214"/>
      <c r="D19" s="210"/>
      <c r="E19" s="30"/>
      <c r="F19" s="27"/>
      <c r="G19" s="30"/>
      <c r="H19" s="31" t="s">
        <v>1</v>
      </c>
      <c r="I19" s="32"/>
      <c r="J19" s="27"/>
      <c r="K19" s="27"/>
      <c r="L19" s="27"/>
      <c r="M19" s="27"/>
      <c r="N19" s="27">
        <f t="shared" si="2"/>
        <v>0</v>
      </c>
      <c r="O19" s="28">
        <f t="shared" si="1"/>
        <v>0</v>
      </c>
      <c r="P19" s="21"/>
      <c r="Q19" s="20"/>
      <c r="R19" s="20"/>
    </row>
    <row r="20" spans="1:18" s="35" customFormat="1" ht="12.75">
      <c r="A20" s="18" t="s">
        <v>27</v>
      </c>
      <c r="B20" s="18" t="s">
        <v>28</v>
      </c>
      <c r="C20" s="19">
        <v>2334131.23</v>
      </c>
      <c r="D20" s="209">
        <v>2674804.79</v>
      </c>
      <c r="E20" s="33">
        <f>SUM(E21:E24)</f>
        <v>2595000</v>
      </c>
      <c r="F20" s="19">
        <v>2422370.72</v>
      </c>
      <c r="G20" s="33">
        <f aca="true" t="shared" si="3" ref="G20:M20">SUM(G21:G24)</f>
        <v>2910000</v>
      </c>
      <c r="H20" s="33">
        <f t="shared" si="3"/>
        <v>0</v>
      </c>
      <c r="I20" s="33">
        <f t="shared" si="3"/>
        <v>183880</v>
      </c>
      <c r="J20" s="33">
        <f t="shared" si="3"/>
        <v>0</v>
      </c>
      <c r="K20" s="33">
        <f t="shared" si="3"/>
        <v>21800</v>
      </c>
      <c r="L20" s="33">
        <f t="shared" si="3"/>
        <v>25000</v>
      </c>
      <c r="M20" s="33">
        <f t="shared" si="3"/>
        <v>0</v>
      </c>
      <c r="N20" s="33">
        <f t="shared" si="2"/>
        <v>230680</v>
      </c>
      <c r="O20" s="19">
        <f t="shared" si="1"/>
        <v>3140680</v>
      </c>
      <c r="P20" s="21"/>
      <c r="Q20" s="20"/>
      <c r="R20" s="34"/>
    </row>
    <row r="21" spans="1:18" s="4" customFormat="1" ht="12.75">
      <c r="A21" s="22" t="s">
        <v>29</v>
      </c>
      <c r="B21" s="22" t="s">
        <v>269</v>
      </c>
      <c r="C21" s="206">
        <v>1634979.21</v>
      </c>
      <c r="D21" s="212">
        <v>1840080.7800000003</v>
      </c>
      <c r="E21" s="24">
        <f>1520000+160000+50000</f>
        <v>1730000</v>
      </c>
      <c r="F21" s="23">
        <v>1622083.62</v>
      </c>
      <c r="G21" s="24">
        <f>1650000+40000</f>
        <v>1690000</v>
      </c>
      <c r="H21" s="25">
        <v>0</v>
      </c>
      <c r="I21" s="26">
        <v>170880</v>
      </c>
      <c r="J21" s="23"/>
      <c r="K21" s="23">
        <v>9000</v>
      </c>
      <c r="L21" s="23">
        <f>25000</f>
        <v>25000</v>
      </c>
      <c r="M21" s="23"/>
      <c r="N21" s="23">
        <f t="shared" si="2"/>
        <v>204880</v>
      </c>
      <c r="O21" s="28">
        <f t="shared" si="1"/>
        <v>1894880</v>
      </c>
      <c r="P21" s="21"/>
      <c r="Q21" s="20"/>
      <c r="R21" s="20"/>
    </row>
    <row r="22" spans="1:18" s="4" customFormat="1" ht="12.75">
      <c r="A22" s="22" t="s">
        <v>30</v>
      </c>
      <c r="B22" s="22" t="s">
        <v>270</v>
      </c>
      <c r="C22" s="206">
        <v>199033.11</v>
      </c>
      <c r="D22" s="212">
        <v>215625.58000000002</v>
      </c>
      <c r="E22" s="24">
        <v>240000</v>
      </c>
      <c r="F22" s="23">
        <v>185834.48</v>
      </c>
      <c r="G22" s="24">
        <f>430000+40000+50000</f>
        <v>520000</v>
      </c>
      <c r="H22" s="25">
        <v>0</v>
      </c>
      <c r="I22" s="26">
        <v>13000</v>
      </c>
      <c r="J22" s="23"/>
      <c r="K22" s="23">
        <v>12800</v>
      </c>
      <c r="L22" s="23"/>
      <c r="M22" s="23"/>
      <c r="N22" s="23">
        <f t="shared" si="2"/>
        <v>25800</v>
      </c>
      <c r="O22" s="28">
        <f t="shared" si="1"/>
        <v>545800</v>
      </c>
      <c r="P22" s="21"/>
      <c r="Q22" s="20"/>
      <c r="R22" s="20"/>
    </row>
    <row r="23" spans="1:18" s="4" customFormat="1" ht="12.75">
      <c r="A23" s="22" t="s">
        <v>31</v>
      </c>
      <c r="B23" s="22" t="s">
        <v>271</v>
      </c>
      <c r="C23" s="206">
        <v>299164.11</v>
      </c>
      <c r="D23" s="212">
        <v>277391.44</v>
      </c>
      <c r="E23" s="24">
        <v>250000</v>
      </c>
      <c r="F23" s="23">
        <v>277391.44</v>
      </c>
      <c r="G23" s="24">
        <f>240000+40000</f>
        <v>280000</v>
      </c>
      <c r="H23" s="25">
        <v>0</v>
      </c>
      <c r="I23" s="26"/>
      <c r="J23" s="23"/>
      <c r="K23" s="23"/>
      <c r="L23" s="23"/>
      <c r="M23" s="23"/>
      <c r="N23" s="23">
        <f t="shared" si="2"/>
        <v>0</v>
      </c>
      <c r="O23" s="28">
        <f t="shared" si="1"/>
        <v>280000</v>
      </c>
      <c r="P23" s="21"/>
      <c r="Q23" s="20"/>
      <c r="R23" s="20"/>
    </row>
    <row r="24" spans="1:18" s="4" customFormat="1" ht="12.75">
      <c r="A24" s="22" t="s">
        <v>32</v>
      </c>
      <c r="B24" s="22" t="s">
        <v>272</v>
      </c>
      <c r="C24" s="206">
        <v>200954.8</v>
      </c>
      <c r="D24" s="212">
        <v>341706.99</v>
      </c>
      <c r="E24" s="24">
        <f>342000+12000+21000</f>
        <v>375000</v>
      </c>
      <c r="F24" s="23">
        <v>337061.18</v>
      </c>
      <c r="G24" s="24">
        <f>400000+20000</f>
        <v>420000</v>
      </c>
      <c r="H24" s="25">
        <v>0</v>
      </c>
      <c r="I24" s="26"/>
      <c r="J24" s="23"/>
      <c r="K24" s="23"/>
      <c r="L24" s="23"/>
      <c r="M24" s="23"/>
      <c r="N24" s="23">
        <f t="shared" si="2"/>
        <v>0</v>
      </c>
      <c r="O24" s="28">
        <f t="shared" si="1"/>
        <v>420000</v>
      </c>
      <c r="P24" s="21"/>
      <c r="Q24" s="20"/>
      <c r="R24" s="20"/>
    </row>
    <row r="25" spans="1:18" s="35" customFormat="1" ht="12.75">
      <c r="A25" s="18" t="s">
        <v>33</v>
      </c>
      <c r="B25" s="18" t="s">
        <v>34</v>
      </c>
      <c r="C25" s="19">
        <v>2382092.23</v>
      </c>
      <c r="D25" s="209">
        <v>3161300.1499999994</v>
      </c>
      <c r="E25" s="33">
        <f>SUM(E26:E36)</f>
        <v>2920000</v>
      </c>
      <c r="F25" s="19">
        <v>2632190.65</v>
      </c>
      <c r="G25" s="33">
        <f>SUM(G26:G36)</f>
        <v>2890000</v>
      </c>
      <c r="H25" s="33">
        <f>SUM(H26:H36)</f>
        <v>321300</v>
      </c>
      <c r="I25" s="36">
        <f aca="true" t="shared" si="4" ref="I25:O25">SUM(I26:I36)</f>
        <v>96940</v>
      </c>
      <c r="J25" s="36">
        <f t="shared" si="4"/>
        <v>19435</v>
      </c>
      <c r="K25" s="36">
        <f t="shared" si="4"/>
        <v>64720</v>
      </c>
      <c r="L25" s="36">
        <f t="shared" si="4"/>
        <v>123400</v>
      </c>
      <c r="M25" s="36">
        <f t="shared" si="4"/>
        <v>64453</v>
      </c>
      <c r="N25" s="36">
        <f t="shared" si="4"/>
        <v>690248</v>
      </c>
      <c r="O25" s="36">
        <f t="shared" si="4"/>
        <v>3580248</v>
      </c>
      <c r="P25" s="21"/>
      <c r="Q25" s="20"/>
      <c r="R25" s="34"/>
    </row>
    <row r="26" spans="1:18" s="4" customFormat="1" ht="12.75">
      <c r="A26" s="22" t="s">
        <v>35</v>
      </c>
      <c r="B26" s="22" t="s">
        <v>284</v>
      </c>
      <c r="C26" s="206">
        <v>134532.59</v>
      </c>
      <c r="D26" s="212">
        <v>135461.25</v>
      </c>
      <c r="E26" s="24">
        <v>135000</v>
      </c>
      <c r="F26" s="23">
        <v>135036.93</v>
      </c>
      <c r="G26" s="24">
        <v>135000</v>
      </c>
      <c r="H26" s="23">
        <v>0</v>
      </c>
      <c r="I26" s="26"/>
      <c r="J26" s="23">
        <v>1000</v>
      </c>
      <c r="K26" s="23"/>
      <c r="L26" s="23"/>
      <c r="M26" s="23">
        <v>1000</v>
      </c>
      <c r="N26" s="23">
        <f t="shared" si="2"/>
        <v>2000</v>
      </c>
      <c r="O26" s="28">
        <f aca="true" t="shared" si="5" ref="O26:O60">G26+N26</f>
        <v>137000</v>
      </c>
      <c r="P26" s="21"/>
      <c r="Q26" s="20"/>
      <c r="R26" s="20"/>
    </row>
    <row r="27" spans="1:18" s="4" customFormat="1" ht="12.75">
      <c r="A27" s="22" t="s">
        <v>38</v>
      </c>
      <c r="B27" s="22" t="s">
        <v>285</v>
      </c>
      <c r="C27" s="206">
        <v>64719.04</v>
      </c>
      <c r="D27" s="212">
        <v>47672.01</v>
      </c>
      <c r="E27" s="24">
        <v>90000</v>
      </c>
      <c r="F27" s="23">
        <v>47672.01</v>
      </c>
      <c r="G27" s="24">
        <v>50000</v>
      </c>
      <c r="H27" s="23">
        <v>0</v>
      </c>
      <c r="I27" s="26">
        <v>1600</v>
      </c>
      <c r="J27" s="23"/>
      <c r="K27" s="23"/>
      <c r="L27" s="23"/>
      <c r="M27" s="23"/>
      <c r="N27" s="23">
        <f t="shared" si="2"/>
        <v>1600</v>
      </c>
      <c r="O27" s="28">
        <f t="shared" si="5"/>
        <v>51600</v>
      </c>
      <c r="P27" s="21"/>
      <c r="Q27" s="20"/>
      <c r="R27" s="20"/>
    </row>
    <row r="28" spans="1:18" s="4" customFormat="1" ht="12.75">
      <c r="A28" s="22" t="s">
        <v>39</v>
      </c>
      <c r="B28" s="22" t="s">
        <v>286</v>
      </c>
      <c r="C28" s="206">
        <v>99921.5</v>
      </c>
      <c r="D28" s="212">
        <v>100184.52</v>
      </c>
      <c r="E28" s="24">
        <v>110000</v>
      </c>
      <c r="F28" s="23">
        <v>89721.4</v>
      </c>
      <c r="G28" s="24">
        <v>110000</v>
      </c>
      <c r="H28" s="23">
        <v>10000</v>
      </c>
      <c r="I28" s="26"/>
      <c r="J28" s="23"/>
      <c r="K28" s="23">
        <v>3000</v>
      </c>
      <c r="L28" s="23"/>
      <c r="M28" s="23"/>
      <c r="N28" s="23">
        <f t="shared" si="2"/>
        <v>13000</v>
      </c>
      <c r="O28" s="28">
        <f t="shared" si="5"/>
        <v>123000</v>
      </c>
      <c r="P28" s="21"/>
      <c r="Q28" s="20"/>
      <c r="R28" s="20"/>
    </row>
    <row r="29" spans="1:18" s="4" customFormat="1" ht="12.75">
      <c r="A29" s="22" t="s">
        <v>280</v>
      </c>
      <c r="B29" s="22" t="s">
        <v>287</v>
      </c>
      <c r="C29" s="206">
        <v>42096.85</v>
      </c>
      <c r="D29" s="212">
        <v>138731.92</v>
      </c>
      <c r="E29" s="24">
        <v>100000</v>
      </c>
      <c r="F29" s="23">
        <v>90178.85</v>
      </c>
      <c r="G29" s="24">
        <f>110000+20000</f>
        <v>130000</v>
      </c>
      <c r="H29" s="23">
        <v>60000</v>
      </c>
      <c r="I29" s="26">
        <v>1000</v>
      </c>
      <c r="J29" s="23"/>
      <c r="K29" s="23">
        <v>7000</v>
      </c>
      <c r="L29" s="23"/>
      <c r="M29" s="23">
        <v>1000</v>
      </c>
      <c r="N29" s="23">
        <f t="shared" si="2"/>
        <v>69000</v>
      </c>
      <c r="O29" s="28">
        <f t="shared" si="5"/>
        <v>199000</v>
      </c>
      <c r="P29" s="21"/>
      <c r="Q29" s="20"/>
      <c r="R29" s="20"/>
    </row>
    <row r="30" spans="1:18" s="4" customFormat="1" ht="12" customHeight="1">
      <c r="A30" s="22" t="s">
        <v>40</v>
      </c>
      <c r="B30" s="22" t="s">
        <v>288</v>
      </c>
      <c r="C30" s="206">
        <v>108797.32</v>
      </c>
      <c r="D30" s="212">
        <v>109469.61</v>
      </c>
      <c r="E30" s="24">
        <v>115000</v>
      </c>
      <c r="F30" s="23">
        <v>109469.61</v>
      </c>
      <c r="G30" s="24">
        <v>115000</v>
      </c>
      <c r="H30" s="23">
        <v>0</v>
      </c>
      <c r="I30" s="26"/>
      <c r="J30" s="23"/>
      <c r="K30" s="23"/>
      <c r="L30" s="23"/>
      <c r="M30" s="23"/>
      <c r="N30" s="23">
        <f t="shared" si="2"/>
        <v>0</v>
      </c>
      <c r="O30" s="28">
        <f t="shared" si="5"/>
        <v>115000</v>
      </c>
      <c r="P30" s="21"/>
      <c r="Q30" s="20"/>
      <c r="R30" s="20"/>
    </row>
    <row r="31" spans="1:18" s="4" customFormat="1" ht="12.75">
      <c r="A31" s="22" t="s">
        <v>41</v>
      </c>
      <c r="B31" s="22" t="s">
        <v>289</v>
      </c>
      <c r="C31" s="206">
        <v>259438.28</v>
      </c>
      <c r="D31" s="212">
        <v>594933.9700000001</v>
      </c>
      <c r="E31" s="24">
        <v>440000</v>
      </c>
      <c r="F31" s="23">
        <v>382278.51</v>
      </c>
      <c r="G31" s="24">
        <v>390000</v>
      </c>
      <c r="H31" s="23">
        <v>160000</v>
      </c>
      <c r="I31" s="26">
        <v>57900</v>
      </c>
      <c r="J31" s="23"/>
      <c r="K31" s="23">
        <v>4500</v>
      </c>
      <c r="L31" s="23">
        <v>26200</v>
      </c>
      <c r="M31" s="23"/>
      <c r="N31" s="23">
        <f t="shared" si="2"/>
        <v>248600</v>
      </c>
      <c r="O31" s="28">
        <f t="shared" si="5"/>
        <v>638600</v>
      </c>
      <c r="P31" s="21"/>
      <c r="Q31" s="20"/>
      <c r="R31" s="20"/>
    </row>
    <row r="32" spans="1:18" s="4" customFormat="1" ht="12.75">
      <c r="A32" s="22" t="s">
        <v>42</v>
      </c>
      <c r="B32" s="22" t="s">
        <v>290</v>
      </c>
      <c r="C32" s="206">
        <v>531959.96</v>
      </c>
      <c r="D32" s="212">
        <v>610236.7999999998</v>
      </c>
      <c r="E32" s="24">
        <v>620000</v>
      </c>
      <c r="F32" s="23">
        <v>506536.54</v>
      </c>
      <c r="G32" s="24">
        <f>580000+10000</f>
        <v>590000</v>
      </c>
      <c r="H32" s="23">
        <v>20000</v>
      </c>
      <c r="I32" s="26">
        <v>21340</v>
      </c>
      <c r="J32" s="23">
        <v>14385</v>
      </c>
      <c r="K32" s="23">
        <v>29100</v>
      </c>
      <c r="L32" s="23">
        <f>25000+35000+1500</f>
        <v>61500</v>
      </c>
      <c r="M32" s="23">
        <v>34998</v>
      </c>
      <c r="N32" s="23">
        <f t="shared" si="2"/>
        <v>181323</v>
      </c>
      <c r="O32" s="28">
        <f t="shared" si="5"/>
        <v>771323</v>
      </c>
      <c r="P32" s="21"/>
      <c r="Q32" s="20"/>
      <c r="R32" s="20"/>
    </row>
    <row r="33" spans="1:18" s="4" customFormat="1" ht="12.75">
      <c r="A33" s="22" t="s">
        <v>43</v>
      </c>
      <c r="B33" s="22" t="s">
        <v>291</v>
      </c>
      <c r="C33" s="206">
        <v>361441.62</v>
      </c>
      <c r="D33" s="212">
        <v>328329.74</v>
      </c>
      <c r="E33" s="24">
        <v>400000</v>
      </c>
      <c r="F33" s="23">
        <v>327815.18</v>
      </c>
      <c r="G33" s="24">
        <v>360000</v>
      </c>
      <c r="H33" s="23">
        <v>0</v>
      </c>
      <c r="I33" s="26"/>
      <c r="J33" s="23"/>
      <c r="K33" s="23"/>
      <c r="L33" s="23">
        <v>700</v>
      </c>
      <c r="M33" s="23"/>
      <c r="N33" s="23">
        <f t="shared" si="2"/>
        <v>700</v>
      </c>
      <c r="O33" s="28">
        <f t="shared" si="5"/>
        <v>360700</v>
      </c>
      <c r="P33" s="21"/>
      <c r="Q33" s="20"/>
      <c r="R33" s="20"/>
    </row>
    <row r="34" spans="1:18" s="4" customFormat="1" ht="12.75">
      <c r="A34" s="22" t="s">
        <v>281</v>
      </c>
      <c r="B34" s="22" t="s">
        <v>292</v>
      </c>
      <c r="C34" s="206">
        <v>99511.08</v>
      </c>
      <c r="D34" s="212">
        <v>106774.75</v>
      </c>
      <c r="E34" s="24">
        <v>100000</v>
      </c>
      <c r="F34" s="23">
        <v>84212.72</v>
      </c>
      <c r="G34" s="24">
        <v>100000</v>
      </c>
      <c r="H34" s="23">
        <v>1300</v>
      </c>
      <c r="I34" s="26">
        <v>6500</v>
      </c>
      <c r="J34" s="23">
        <v>2050</v>
      </c>
      <c r="K34" s="23">
        <v>6500</v>
      </c>
      <c r="L34" s="23">
        <v>15000</v>
      </c>
      <c r="M34" s="23">
        <v>25255</v>
      </c>
      <c r="N34" s="23">
        <f t="shared" si="2"/>
        <v>56605</v>
      </c>
      <c r="O34" s="28">
        <f t="shared" si="5"/>
        <v>156605</v>
      </c>
      <c r="P34" s="21"/>
      <c r="Q34" s="20"/>
      <c r="R34" s="20"/>
    </row>
    <row r="35" spans="1:18" s="4" customFormat="1" ht="12.75">
      <c r="A35" s="22" t="s">
        <v>36</v>
      </c>
      <c r="B35" s="22" t="s">
        <v>293</v>
      </c>
      <c r="C35" s="206">
        <v>556578.1</v>
      </c>
      <c r="D35" s="212">
        <v>826028.51</v>
      </c>
      <c r="E35" s="24">
        <v>680000</v>
      </c>
      <c r="F35" s="23">
        <v>706507.51</v>
      </c>
      <c r="G35" s="24">
        <f>580000-60000+10000+10000+40000+80000</f>
        <v>660000</v>
      </c>
      <c r="H35" s="23">
        <v>70000</v>
      </c>
      <c r="I35" s="26">
        <v>8600</v>
      </c>
      <c r="J35" s="23">
        <v>1300</v>
      </c>
      <c r="K35" s="23">
        <v>5600</v>
      </c>
      <c r="L35" s="23">
        <f>10000+1000</f>
        <v>11000</v>
      </c>
      <c r="M35" s="23">
        <v>700</v>
      </c>
      <c r="N35" s="23">
        <f t="shared" si="2"/>
        <v>97200</v>
      </c>
      <c r="O35" s="28">
        <f t="shared" si="5"/>
        <v>757200</v>
      </c>
      <c r="P35" s="21"/>
      <c r="Q35" s="20"/>
      <c r="R35" s="20"/>
    </row>
    <row r="36" spans="1:18" s="4" customFormat="1" ht="12.75">
      <c r="A36" s="22" t="s">
        <v>37</v>
      </c>
      <c r="B36" s="22" t="s">
        <v>294</v>
      </c>
      <c r="C36" s="206">
        <v>123095.89</v>
      </c>
      <c r="D36" s="212">
        <v>163477.07000000004</v>
      </c>
      <c r="E36" s="24">
        <v>130000</v>
      </c>
      <c r="F36" s="23">
        <v>152761.39</v>
      </c>
      <c r="G36" s="24">
        <v>250000</v>
      </c>
      <c r="H36" s="23">
        <v>0</v>
      </c>
      <c r="I36" s="26"/>
      <c r="J36" s="23">
        <v>700</v>
      </c>
      <c r="K36" s="23">
        <v>9020</v>
      </c>
      <c r="L36" s="23">
        <v>9000</v>
      </c>
      <c r="M36" s="23">
        <v>1500</v>
      </c>
      <c r="N36" s="23">
        <f t="shared" si="2"/>
        <v>20220</v>
      </c>
      <c r="O36" s="28">
        <f t="shared" si="5"/>
        <v>270220</v>
      </c>
      <c r="P36" s="21"/>
      <c r="Q36" s="20"/>
      <c r="R36" s="20"/>
    </row>
    <row r="37" spans="1:18" s="35" customFormat="1" ht="12.75">
      <c r="A37" s="18" t="s">
        <v>44</v>
      </c>
      <c r="B37" s="18" t="s">
        <v>45</v>
      </c>
      <c r="C37" s="19">
        <v>4100039.73</v>
      </c>
      <c r="D37" s="209">
        <v>3964980.7600000002</v>
      </c>
      <c r="E37" s="33">
        <f>SUM(E38:E41)</f>
        <v>4022000</v>
      </c>
      <c r="F37" s="19">
        <v>3964980.7600000002</v>
      </c>
      <c r="G37" s="33">
        <f aca="true" t="shared" si="6" ref="G37:M37">SUM(G38:G41)</f>
        <v>4090000</v>
      </c>
      <c r="H37" s="19">
        <f t="shared" si="6"/>
        <v>0</v>
      </c>
      <c r="I37" s="33">
        <f t="shared" si="6"/>
        <v>0</v>
      </c>
      <c r="J37" s="33">
        <f t="shared" si="6"/>
        <v>0</v>
      </c>
      <c r="K37" s="33">
        <f t="shared" si="6"/>
        <v>0</v>
      </c>
      <c r="L37" s="33">
        <f t="shared" si="6"/>
        <v>0</v>
      </c>
      <c r="M37" s="33">
        <f t="shared" si="6"/>
        <v>54138</v>
      </c>
      <c r="N37" s="33">
        <f t="shared" si="2"/>
        <v>54138</v>
      </c>
      <c r="O37" s="19">
        <f t="shared" si="5"/>
        <v>4144138</v>
      </c>
      <c r="P37" s="21"/>
      <c r="Q37" s="20"/>
      <c r="R37" s="34"/>
    </row>
    <row r="38" spans="1:18" s="4" customFormat="1" ht="12.75">
      <c r="A38" s="22" t="s">
        <v>46</v>
      </c>
      <c r="B38" s="22" t="s">
        <v>295</v>
      </c>
      <c r="C38" s="206">
        <v>1878120.73</v>
      </c>
      <c r="D38" s="212">
        <v>1711222.39</v>
      </c>
      <c r="E38" s="24">
        <f>1900000-200000-10000</f>
        <v>1690000</v>
      </c>
      <c r="F38" s="23">
        <v>1711222.39</v>
      </c>
      <c r="G38" s="24">
        <v>1750000</v>
      </c>
      <c r="H38" s="23">
        <v>0</v>
      </c>
      <c r="I38" s="26"/>
      <c r="J38" s="23"/>
      <c r="K38" s="23"/>
      <c r="L38" s="23"/>
      <c r="M38" s="23">
        <v>31046</v>
      </c>
      <c r="N38" s="23">
        <f t="shared" si="2"/>
        <v>31046</v>
      </c>
      <c r="O38" s="28">
        <f t="shared" si="5"/>
        <v>1781046</v>
      </c>
      <c r="P38" s="21"/>
      <c r="Q38" s="20"/>
      <c r="R38" s="20"/>
    </row>
    <row r="39" spans="1:18" s="4" customFormat="1" ht="12.75">
      <c r="A39" s="22" t="s">
        <v>47</v>
      </c>
      <c r="B39" s="22" t="s">
        <v>296</v>
      </c>
      <c r="C39" s="206">
        <v>1566994.99</v>
      </c>
      <c r="D39" s="212">
        <v>1504614.31</v>
      </c>
      <c r="E39" s="24">
        <v>1650000</v>
      </c>
      <c r="F39" s="23">
        <v>1504614.31</v>
      </c>
      <c r="G39" s="24">
        <f>1500000+(1500000*3.5%)-2500</f>
        <v>1550000</v>
      </c>
      <c r="H39" s="23">
        <v>0</v>
      </c>
      <c r="I39" s="26"/>
      <c r="J39" s="23"/>
      <c r="K39" s="23"/>
      <c r="L39" s="23"/>
      <c r="M39" s="23"/>
      <c r="N39" s="23">
        <f t="shared" si="2"/>
        <v>0</v>
      </c>
      <c r="O39" s="28">
        <f t="shared" si="5"/>
        <v>1550000</v>
      </c>
      <c r="P39" s="21"/>
      <c r="Q39" s="20"/>
      <c r="R39" s="20"/>
    </row>
    <row r="40" spans="1:18" s="4" customFormat="1" ht="12.75">
      <c r="A40" s="22" t="s">
        <v>48</v>
      </c>
      <c r="B40" s="22" t="s">
        <v>297</v>
      </c>
      <c r="C40" s="206">
        <v>397424.83</v>
      </c>
      <c r="D40" s="212">
        <v>508800.68</v>
      </c>
      <c r="E40" s="24">
        <v>420000</v>
      </c>
      <c r="F40" s="23">
        <v>508800.68</v>
      </c>
      <c r="G40" s="24">
        <f>510000+(510000*3.5%)+2150+20000</f>
        <v>550000</v>
      </c>
      <c r="H40" s="23">
        <v>0</v>
      </c>
      <c r="I40" s="26"/>
      <c r="J40" s="23"/>
      <c r="K40" s="23"/>
      <c r="L40" s="23"/>
      <c r="M40" s="23">
        <v>4046</v>
      </c>
      <c r="N40" s="23">
        <f t="shared" si="2"/>
        <v>4046</v>
      </c>
      <c r="O40" s="28">
        <f t="shared" si="5"/>
        <v>554046</v>
      </c>
      <c r="P40" s="21"/>
      <c r="Q40" s="20"/>
      <c r="R40" s="20"/>
    </row>
    <row r="41" spans="1:18" s="4" customFormat="1" ht="12.75">
      <c r="A41" s="22" t="s">
        <v>49</v>
      </c>
      <c r="B41" s="22" t="s">
        <v>298</v>
      </c>
      <c r="C41" s="206">
        <v>257499.18</v>
      </c>
      <c r="D41" s="212">
        <v>240343.38</v>
      </c>
      <c r="E41" s="24">
        <v>262000</v>
      </c>
      <c r="F41" s="23">
        <v>240343.38</v>
      </c>
      <c r="G41" s="24">
        <v>240000</v>
      </c>
      <c r="H41" s="23">
        <v>0</v>
      </c>
      <c r="I41" s="26"/>
      <c r="J41" s="23"/>
      <c r="K41" s="23"/>
      <c r="L41" s="23"/>
      <c r="M41" s="23">
        <v>19046</v>
      </c>
      <c r="N41" s="23">
        <f t="shared" si="2"/>
        <v>19046</v>
      </c>
      <c r="O41" s="28">
        <f t="shared" si="5"/>
        <v>259046</v>
      </c>
      <c r="P41" s="21"/>
      <c r="Q41" s="20"/>
      <c r="R41" s="20"/>
    </row>
    <row r="42" spans="1:18" s="35" customFormat="1" ht="12.75">
      <c r="A42" s="18" t="s">
        <v>50</v>
      </c>
      <c r="B42" s="18" t="s">
        <v>51</v>
      </c>
      <c r="C42" s="19">
        <v>6159489.61</v>
      </c>
      <c r="D42" s="209">
        <v>10798679.01</v>
      </c>
      <c r="E42" s="33">
        <f>SUM(E43:E60)</f>
        <v>6009000</v>
      </c>
      <c r="F42" s="19">
        <v>5746794.26</v>
      </c>
      <c r="G42" s="33">
        <f aca="true" t="shared" si="7" ref="G42:M42">SUM(G43:G60)</f>
        <v>6162000</v>
      </c>
      <c r="H42" s="19">
        <f t="shared" si="7"/>
        <v>1595000</v>
      </c>
      <c r="I42" s="33">
        <f t="shared" si="7"/>
        <v>594180</v>
      </c>
      <c r="J42" s="33">
        <f t="shared" si="7"/>
        <v>670945</v>
      </c>
      <c r="K42" s="33">
        <f t="shared" si="7"/>
        <v>114010</v>
      </c>
      <c r="L42" s="33">
        <f t="shared" si="7"/>
        <v>1799190</v>
      </c>
      <c r="M42" s="33">
        <f t="shared" si="7"/>
        <v>825206</v>
      </c>
      <c r="N42" s="33">
        <f t="shared" si="2"/>
        <v>5598531</v>
      </c>
      <c r="O42" s="19">
        <f t="shared" si="5"/>
        <v>11760531</v>
      </c>
      <c r="P42" s="21"/>
      <c r="Q42" s="20"/>
      <c r="R42" s="34"/>
    </row>
    <row r="43" spans="1:18" s="4" customFormat="1" ht="12.75">
      <c r="A43" s="22" t="s">
        <v>52</v>
      </c>
      <c r="B43" s="22" t="s">
        <v>299</v>
      </c>
      <c r="C43" s="206">
        <v>136596.25</v>
      </c>
      <c r="D43" s="212">
        <v>117846.78000000001</v>
      </c>
      <c r="E43" s="24">
        <v>120000</v>
      </c>
      <c r="F43" s="23">
        <v>74178.64</v>
      </c>
      <c r="G43" s="24">
        <v>90000</v>
      </c>
      <c r="H43" s="23">
        <v>0</v>
      </c>
      <c r="I43" s="26">
        <v>15700</v>
      </c>
      <c r="J43" s="23">
        <v>10360</v>
      </c>
      <c r="K43" s="23"/>
      <c r="L43" s="23">
        <v>15000</v>
      </c>
      <c r="M43" s="23">
        <v>2300</v>
      </c>
      <c r="N43" s="23">
        <f t="shared" si="2"/>
        <v>43360</v>
      </c>
      <c r="O43" s="28">
        <f t="shared" si="5"/>
        <v>133360</v>
      </c>
      <c r="P43" s="21"/>
      <c r="Q43" s="20"/>
      <c r="R43" s="20"/>
    </row>
    <row r="44" spans="1:18" s="4" customFormat="1" ht="12.75">
      <c r="A44" s="22" t="s">
        <v>62</v>
      </c>
      <c r="B44" s="22" t="s">
        <v>300</v>
      </c>
      <c r="C44" s="206">
        <v>153426.9</v>
      </c>
      <c r="D44" s="212">
        <v>898739.96</v>
      </c>
      <c r="E44" s="24">
        <v>150000</v>
      </c>
      <c r="F44" s="23">
        <v>117849.15</v>
      </c>
      <c r="G44" s="24">
        <f>130000+20000</f>
        <v>150000</v>
      </c>
      <c r="H44" s="23">
        <v>800000</v>
      </c>
      <c r="I44" s="26">
        <v>23000</v>
      </c>
      <c r="J44" s="23"/>
      <c r="K44" s="23">
        <v>14000</v>
      </c>
      <c r="L44" s="23">
        <v>35000</v>
      </c>
      <c r="M44" s="23"/>
      <c r="N44" s="23">
        <f t="shared" si="2"/>
        <v>872000</v>
      </c>
      <c r="O44" s="28">
        <f t="shared" si="5"/>
        <v>1022000</v>
      </c>
      <c r="P44" s="21"/>
      <c r="Q44" s="20"/>
      <c r="R44" s="20"/>
    </row>
    <row r="45" spans="1:18" s="4" customFormat="1" ht="12.75">
      <c r="A45" s="22" t="s">
        <v>63</v>
      </c>
      <c r="B45" s="22" t="s">
        <v>352</v>
      </c>
      <c r="C45" s="206">
        <v>90491.85</v>
      </c>
      <c r="D45" s="212">
        <v>329725.14</v>
      </c>
      <c r="E45" s="24">
        <v>100000</v>
      </c>
      <c r="F45" s="23">
        <v>85731.78</v>
      </c>
      <c r="G45" s="24">
        <f>90000+17000+3000</f>
        <v>110000</v>
      </c>
      <c r="H45" s="23">
        <v>190000</v>
      </c>
      <c r="I45" s="26">
        <f>9960+900</f>
        <v>10860</v>
      </c>
      <c r="J45" s="23">
        <v>2000</v>
      </c>
      <c r="K45" s="23"/>
      <c r="L45" s="23">
        <v>20000</v>
      </c>
      <c r="M45" s="23">
        <f>20000+8600</f>
        <v>28600</v>
      </c>
      <c r="N45" s="23">
        <f t="shared" si="2"/>
        <v>251460</v>
      </c>
      <c r="O45" s="28">
        <f t="shared" si="5"/>
        <v>361460</v>
      </c>
      <c r="P45" s="21"/>
      <c r="Q45" s="20"/>
      <c r="R45" s="20"/>
    </row>
    <row r="46" spans="1:18" s="4" customFormat="1" ht="12.75">
      <c r="A46" s="22" t="s">
        <v>64</v>
      </c>
      <c r="B46" s="22" t="s">
        <v>301</v>
      </c>
      <c r="C46" s="206">
        <v>121480.18</v>
      </c>
      <c r="D46" s="212">
        <v>7757.72</v>
      </c>
      <c r="E46" s="24">
        <v>185000</v>
      </c>
      <c r="F46" s="23">
        <v>7757.72</v>
      </c>
      <c r="G46" s="24">
        <f>8000+7000</f>
        <v>15000</v>
      </c>
      <c r="H46" s="23">
        <v>0</v>
      </c>
      <c r="I46" s="26"/>
      <c r="J46" s="23"/>
      <c r="K46" s="23"/>
      <c r="L46" s="23"/>
      <c r="M46" s="23"/>
      <c r="N46" s="23">
        <f t="shared" si="2"/>
        <v>0</v>
      </c>
      <c r="O46" s="28">
        <f t="shared" si="5"/>
        <v>15000</v>
      </c>
      <c r="P46" s="21"/>
      <c r="Q46" s="20"/>
      <c r="R46" s="20"/>
    </row>
    <row r="47" spans="1:18" s="4" customFormat="1" ht="12.75">
      <c r="A47" s="22" t="s">
        <v>65</v>
      </c>
      <c r="B47" s="22" t="s">
        <v>302</v>
      </c>
      <c r="C47" s="206">
        <v>181165.72</v>
      </c>
      <c r="D47" s="212">
        <v>173093.58</v>
      </c>
      <c r="E47" s="24">
        <v>180000</v>
      </c>
      <c r="F47" s="23">
        <v>173093.58</v>
      </c>
      <c r="G47" s="24">
        <v>160000</v>
      </c>
      <c r="H47" s="23">
        <v>0</v>
      </c>
      <c r="I47" s="26"/>
      <c r="J47" s="23"/>
      <c r="K47" s="23"/>
      <c r="L47" s="23"/>
      <c r="M47" s="23"/>
      <c r="N47" s="23">
        <f t="shared" si="2"/>
        <v>0</v>
      </c>
      <c r="O47" s="28">
        <f t="shared" si="5"/>
        <v>160000</v>
      </c>
      <c r="P47" s="21"/>
      <c r="Q47" s="20"/>
      <c r="R47" s="20"/>
    </row>
    <row r="48" spans="1:18" s="4" customFormat="1" ht="12.75">
      <c r="A48" s="22" t="s">
        <v>66</v>
      </c>
      <c r="B48" s="22" t="s">
        <v>303</v>
      </c>
      <c r="C48" s="206">
        <v>1383831.89</v>
      </c>
      <c r="D48" s="212">
        <v>2085439.9799999997</v>
      </c>
      <c r="E48" s="24">
        <v>1350000</v>
      </c>
      <c r="F48" s="23">
        <v>1053051.62</v>
      </c>
      <c r="G48" s="24">
        <f>1200000+252000+33000-5000+20000</f>
        <v>1500000</v>
      </c>
      <c r="H48" s="23">
        <v>500000</v>
      </c>
      <c r="I48" s="26">
        <v>277540</v>
      </c>
      <c r="J48" s="23">
        <v>207190</v>
      </c>
      <c r="K48" s="23">
        <v>64300</v>
      </c>
      <c r="L48" s="23">
        <f>224940+2000+1500+5000+15</f>
        <v>233455</v>
      </c>
      <c r="M48" s="23">
        <f>41082+500+206122+5000</f>
        <v>252704</v>
      </c>
      <c r="N48" s="23">
        <f t="shared" si="2"/>
        <v>1535189</v>
      </c>
      <c r="O48" s="28">
        <f t="shared" si="5"/>
        <v>3035189</v>
      </c>
      <c r="P48" s="21"/>
      <c r="Q48" s="20"/>
      <c r="R48" s="20"/>
    </row>
    <row r="49" spans="1:18" s="4" customFormat="1" ht="12.75">
      <c r="A49" s="22" t="s">
        <v>67</v>
      </c>
      <c r="B49" s="22" t="s">
        <v>304</v>
      </c>
      <c r="C49" s="206">
        <v>322954.8</v>
      </c>
      <c r="D49" s="212">
        <v>354529.85</v>
      </c>
      <c r="E49" s="24">
        <v>300000</v>
      </c>
      <c r="F49" s="23">
        <v>342689.01</v>
      </c>
      <c r="G49" s="24">
        <f>500000+20000</f>
        <v>520000</v>
      </c>
      <c r="H49" s="23">
        <v>0</v>
      </c>
      <c r="I49" s="26">
        <v>69000</v>
      </c>
      <c r="J49" s="23">
        <v>1200</v>
      </c>
      <c r="K49" s="23"/>
      <c r="L49" s="23">
        <v>15000</v>
      </c>
      <c r="M49" s="23"/>
      <c r="N49" s="23">
        <f t="shared" si="2"/>
        <v>85200</v>
      </c>
      <c r="O49" s="28">
        <f t="shared" si="5"/>
        <v>605200</v>
      </c>
      <c r="P49" s="21"/>
      <c r="Q49" s="20"/>
      <c r="R49" s="20"/>
    </row>
    <row r="50" spans="1:18" s="4" customFormat="1" ht="12.75">
      <c r="A50" s="22" t="s">
        <v>68</v>
      </c>
      <c r="B50" s="22" t="s">
        <v>305</v>
      </c>
      <c r="C50" s="206">
        <v>314747.32</v>
      </c>
      <c r="D50" s="212">
        <v>2040172.2999999998</v>
      </c>
      <c r="E50" s="24">
        <v>250000</v>
      </c>
      <c r="F50" s="23">
        <v>281943.73</v>
      </c>
      <c r="G50" s="24">
        <f>280000-10000</f>
        <v>270000</v>
      </c>
      <c r="H50" s="23">
        <v>0</v>
      </c>
      <c r="I50" s="26">
        <v>64000</v>
      </c>
      <c r="J50" s="23">
        <v>1000</v>
      </c>
      <c r="K50" s="23">
        <v>6000</v>
      </c>
      <c r="L50" s="23">
        <v>1200000</v>
      </c>
      <c r="M50" s="23">
        <v>47650</v>
      </c>
      <c r="N50" s="23">
        <f t="shared" si="2"/>
        <v>1318650</v>
      </c>
      <c r="O50" s="28">
        <f t="shared" si="5"/>
        <v>1588650</v>
      </c>
      <c r="P50" s="21"/>
      <c r="Q50" s="20"/>
      <c r="R50" s="20"/>
    </row>
    <row r="51" spans="1:18" s="4" customFormat="1" ht="12.75">
      <c r="A51" s="22" t="s">
        <v>69</v>
      </c>
      <c r="B51" s="22" t="s">
        <v>306</v>
      </c>
      <c r="C51" s="206">
        <v>449270.62</v>
      </c>
      <c r="D51" s="212">
        <v>594002.51</v>
      </c>
      <c r="E51" s="24">
        <v>570000</v>
      </c>
      <c r="F51" s="23">
        <v>491654.35</v>
      </c>
      <c r="G51" s="24">
        <f>620000-15000-50000</f>
        <v>555000</v>
      </c>
      <c r="H51" s="23">
        <v>25000</v>
      </c>
      <c r="I51" s="26"/>
      <c r="J51" s="23"/>
      <c r="K51" s="23"/>
      <c r="L51" s="23">
        <v>1200</v>
      </c>
      <c r="M51" s="23"/>
      <c r="N51" s="23">
        <f t="shared" si="2"/>
        <v>26200</v>
      </c>
      <c r="O51" s="28">
        <f t="shared" si="5"/>
        <v>581200</v>
      </c>
      <c r="P51" s="21"/>
      <c r="Q51" s="20"/>
      <c r="R51" s="20"/>
    </row>
    <row r="52" spans="1:18" s="4" customFormat="1" ht="12.75">
      <c r="A52" s="22" t="s">
        <v>53</v>
      </c>
      <c r="B52" s="22" t="s">
        <v>307</v>
      </c>
      <c r="C52" s="206">
        <v>12678.39</v>
      </c>
      <c r="D52" s="212">
        <v>7040.12</v>
      </c>
      <c r="E52" s="24">
        <v>13000</v>
      </c>
      <c r="F52" s="23">
        <v>7030.12</v>
      </c>
      <c r="G52" s="24">
        <v>7000</v>
      </c>
      <c r="H52" s="23">
        <v>0</v>
      </c>
      <c r="I52" s="26">
        <v>1450</v>
      </c>
      <c r="J52" s="23"/>
      <c r="K52" s="23"/>
      <c r="L52" s="23"/>
      <c r="M52" s="23"/>
      <c r="N52" s="23">
        <f t="shared" si="2"/>
        <v>1450</v>
      </c>
      <c r="O52" s="28">
        <f t="shared" si="5"/>
        <v>8450</v>
      </c>
      <c r="P52" s="21"/>
      <c r="Q52" s="20"/>
      <c r="R52" s="20"/>
    </row>
    <row r="53" spans="1:18" s="4" customFormat="1" ht="12.75">
      <c r="A53" s="22" t="s">
        <v>54</v>
      </c>
      <c r="B53" s="22" t="s">
        <v>308</v>
      </c>
      <c r="C53" s="206">
        <v>996516.08</v>
      </c>
      <c r="D53" s="212">
        <v>1034820.9999999999</v>
      </c>
      <c r="E53" s="24">
        <v>990000</v>
      </c>
      <c r="F53" s="23">
        <v>979673.84</v>
      </c>
      <c r="G53" s="24">
        <f>950000+20000</f>
        <v>970000</v>
      </c>
      <c r="H53" s="23">
        <v>0</v>
      </c>
      <c r="I53" s="26"/>
      <c r="J53" s="23">
        <v>500</v>
      </c>
      <c r="K53" s="23">
        <v>9500</v>
      </c>
      <c r="L53" s="23">
        <v>46000</v>
      </c>
      <c r="M53" s="23">
        <v>28000</v>
      </c>
      <c r="N53" s="23">
        <f t="shared" si="2"/>
        <v>84000</v>
      </c>
      <c r="O53" s="28">
        <f t="shared" si="5"/>
        <v>1054000</v>
      </c>
      <c r="P53" s="21"/>
      <c r="Q53" s="20"/>
      <c r="R53" s="20"/>
    </row>
    <row r="54" spans="1:18" s="4" customFormat="1" ht="12.75">
      <c r="A54" s="22" t="s">
        <v>55</v>
      </c>
      <c r="B54" s="22" t="s">
        <v>309</v>
      </c>
      <c r="C54" s="206">
        <v>446468.27</v>
      </c>
      <c r="D54" s="212">
        <v>837371.28</v>
      </c>
      <c r="E54" s="24">
        <v>386000</v>
      </c>
      <c r="F54" s="23">
        <v>837371.28</v>
      </c>
      <c r="G54" s="24">
        <v>365000</v>
      </c>
      <c r="H54" s="23">
        <v>0</v>
      </c>
      <c r="I54" s="26"/>
      <c r="J54" s="23"/>
      <c r="K54" s="23"/>
      <c r="L54" s="23"/>
      <c r="M54" s="23"/>
      <c r="N54" s="23">
        <f t="shared" si="2"/>
        <v>0</v>
      </c>
      <c r="O54" s="28">
        <f t="shared" si="5"/>
        <v>365000</v>
      </c>
      <c r="P54" s="21"/>
      <c r="Q54" s="20"/>
      <c r="R54" s="20"/>
    </row>
    <row r="55" spans="1:18" s="4" customFormat="1" ht="12.75">
      <c r="A55" s="22" t="s">
        <v>56</v>
      </c>
      <c r="B55" s="22" t="s">
        <v>310</v>
      </c>
      <c r="C55" s="206">
        <v>547952.16</v>
      </c>
      <c r="D55" s="212">
        <v>493753.94</v>
      </c>
      <c r="E55" s="24">
        <v>580000</v>
      </c>
      <c r="F55" s="23">
        <v>483829.59</v>
      </c>
      <c r="G55" s="24">
        <f>560000-70000-10000-20000</f>
        <v>460000</v>
      </c>
      <c r="H55" s="23">
        <v>0</v>
      </c>
      <c r="I55" s="26">
        <v>550</v>
      </c>
      <c r="J55" s="23"/>
      <c r="K55" s="23"/>
      <c r="L55" s="23"/>
      <c r="M55" s="23">
        <v>13200</v>
      </c>
      <c r="N55" s="23">
        <f t="shared" si="2"/>
        <v>13750</v>
      </c>
      <c r="O55" s="28">
        <f t="shared" si="5"/>
        <v>473750</v>
      </c>
      <c r="P55" s="21"/>
      <c r="Q55" s="20"/>
      <c r="R55" s="20"/>
    </row>
    <row r="56" spans="1:18" s="4" customFormat="1" ht="12.75">
      <c r="A56" s="22" t="s">
        <v>57</v>
      </c>
      <c r="B56" s="22" t="s">
        <v>311</v>
      </c>
      <c r="C56" s="206">
        <v>262332.61</v>
      </c>
      <c r="D56" s="212">
        <v>270360.68</v>
      </c>
      <c r="E56" s="24">
        <v>260000</v>
      </c>
      <c r="F56" s="23">
        <v>242052.99</v>
      </c>
      <c r="G56" s="24">
        <f>260000-20000+10000</f>
        <v>250000</v>
      </c>
      <c r="H56" s="23">
        <v>0</v>
      </c>
      <c r="I56" s="26">
        <v>5700</v>
      </c>
      <c r="J56" s="23">
        <v>1100</v>
      </c>
      <c r="K56" s="23">
        <v>2800</v>
      </c>
      <c r="L56" s="23">
        <v>15000</v>
      </c>
      <c r="M56" s="23">
        <v>9741</v>
      </c>
      <c r="N56" s="23">
        <f t="shared" si="2"/>
        <v>34341</v>
      </c>
      <c r="O56" s="28">
        <f t="shared" si="5"/>
        <v>284341</v>
      </c>
      <c r="P56" s="21"/>
      <c r="Q56" s="20"/>
      <c r="R56" s="20"/>
    </row>
    <row r="57" spans="1:18" s="4" customFormat="1" ht="12.75">
      <c r="A57" s="22" t="s">
        <v>58</v>
      </c>
      <c r="B57" s="22" t="s">
        <v>312</v>
      </c>
      <c r="C57" s="206">
        <v>96063.48</v>
      </c>
      <c r="D57" s="212">
        <v>22218.21</v>
      </c>
      <c r="E57" s="24">
        <v>35000</v>
      </c>
      <c r="F57" s="23">
        <v>22218.21</v>
      </c>
      <c r="G57" s="24">
        <f>32000+1000</f>
        <v>33000</v>
      </c>
      <c r="H57" s="23">
        <v>0</v>
      </c>
      <c r="I57" s="26"/>
      <c r="J57" s="23"/>
      <c r="K57" s="23"/>
      <c r="L57" s="23"/>
      <c r="M57" s="23">
        <v>5850</v>
      </c>
      <c r="N57" s="23">
        <f t="shared" si="2"/>
        <v>5850</v>
      </c>
      <c r="O57" s="28">
        <f t="shared" si="5"/>
        <v>38850</v>
      </c>
      <c r="P57" s="21"/>
      <c r="Q57" s="20"/>
      <c r="R57" s="20"/>
    </row>
    <row r="58" spans="1:18" s="4" customFormat="1" ht="12.75">
      <c r="A58" s="22" t="s">
        <v>59</v>
      </c>
      <c r="B58" s="22" t="s">
        <v>313</v>
      </c>
      <c r="C58" s="206">
        <v>125880.45</v>
      </c>
      <c r="D58" s="212">
        <v>152744.14</v>
      </c>
      <c r="E58" s="24">
        <v>120000</v>
      </c>
      <c r="F58" s="23">
        <v>45099.14</v>
      </c>
      <c r="G58" s="24">
        <f>100000-20000</f>
        <v>80000</v>
      </c>
      <c r="H58" s="23">
        <v>15000</v>
      </c>
      <c r="I58" s="26">
        <v>13760</v>
      </c>
      <c r="J58" s="23">
        <v>15100</v>
      </c>
      <c r="K58" s="23"/>
      <c r="L58" s="23">
        <v>60405</v>
      </c>
      <c r="M58" s="23">
        <v>54975</v>
      </c>
      <c r="N58" s="23">
        <f t="shared" si="2"/>
        <v>159240</v>
      </c>
      <c r="O58" s="28">
        <f t="shared" si="5"/>
        <v>239240</v>
      </c>
      <c r="P58" s="21"/>
      <c r="Q58" s="20"/>
      <c r="R58" s="20"/>
    </row>
    <row r="59" spans="1:18" s="4" customFormat="1" ht="12.75">
      <c r="A59" s="22" t="s">
        <v>60</v>
      </c>
      <c r="B59" s="22" t="s">
        <v>314</v>
      </c>
      <c r="C59" s="206">
        <v>377279.09</v>
      </c>
      <c r="D59" s="212">
        <v>1302291.61</v>
      </c>
      <c r="E59" s="24">
        <v>360000</v>
      </c>
      <c r="F59" s="23">
        <v>458112.81</v>
      </c>
      <c r="G59" s="24">
        <f>420000+83000+7000+40000</f>
        <v>550000</v>
      </c>
      <c r="H59" s="23">
        <v>65000</v>
      </c>
      <c r="I59" s="26">
        <v>109120</v>
      </c>
      <c r="J59" s="23">
        <v>414895</v>
      </c>
      <c r="K59" s="23">
        <v>17410</v>
      </c>
      <c r="L59" s="23">
        <f>42000+81130</f>
        <v>123130</v>
      </c>
      <c r="M59" s="23">
        <v>289970</v>
      </c>
      <c r="N59" s="23">
        <f t="shared" si="2"/>
        <v>1019525</v>
      </c>
      <c r="O59" s="28">
        <f t="shared" si="5"/>
        <v>1569525</v>
      </c>
      <c r="P59" s="21"/>
      <c r="Q59" s="20"/>
      <c r="R59" s="20"/>
    </row>
    <row r="60" spans="1:18" s="4" customFormat="1" ht="12.75">
      <c r="A60" s="22" t="s">
        <v>61</v>
      </c>
      <c r="B60" s="22" t="s">
        <v>315</v>
      </c>
      <c r="C60" s="206">
        <v>140353.55</v>
      </c>
      <c r="D60" s="212">
        <v>76770.20999999999</v>
      </c>
      <c r="E60" s="24">
        <v>60000</v>
      </c>
      <c r="F60" s="23">
        <v>43456.7</v>
      </c>
      <c r="G60" s="24">
        <f>50000+12300+15000-300</f>
        <v>77000</v>
      </c>
      <c r="H60" s="23">
        <v>0</v>
      </c>
      <c r="I60" s="26">
        <v>3500</v>
      </c>
      <c r="J60" s="23">
        <v>17600</v>
      </c>
      <c r="K60" s="23"/>
      <c r="L60" s="23">
        <v>35000</v>
      </c>
      <c r="M60" s="23">
        <v>92216</v>
      </c>
      <c r="N60" s="23">
        <f t="shared" si="2"/>
        <v>148316</v>
      </c>
      <c r="O60" s="28">
        <f t="shared" si="5"/>
        <v>225316</v>
      </c>
      <c r="P60" s="21"/>
      <c r="Q60" s="20"/>
      <c r="R60" s="20"/>
    </row>
    <row r="61" spans="1:18" s="35" customFormat="1" ht="12.75">
      <c r="A61" s="18" t="s">
        <v>70</v>
      </c>
      <c r="B61" s="18" t="s">
        <v>71</v>
      </c>
      <c r="C61" s="19">
        <v>1732524.44</v>
      </c>
      <c r="D61" s="209">
        <v>6661656.9</v>
      </c>
      <c r="E61" s="33">
        <f>SUM(E62:E65)</f>
        <v>1810000</v>
      </c>
      <c r="F61" s="19">
        <v>1644984.31</v>
      </c>
      <c r="G61" s="33">
        <f aca="true" t="shared" si="8" ref="G61:O61">SUM(G62:G65)</f>
        <v>2040000</v>
      </c>
      <c r="H61" s="19">
        <f t="shared" si="8"/>
        <v>1152000</v>
      </c>
      <c r="I61" s="33">
        <f t="shared" si="8"/>
        <v>3336910</v>
      </c>
      <c r="J61" s="33">
        <f t="shared" si="8"/>
        <v>11745</v>
      </c>
      <c r="K61" s="33">
        <f t="shared" si="8"/>
        <v>21000</v>
      </c>
      <c r="L61" s="33">
        <f t="shared" si="8"/>
        <v>622500</v>
      </c>
      <c r="M61" s="33">
        <f t="shared" si="8"/>
        <v>331842</v>
      </c>
      <c r="N61" s="33">
        <f t="shared" si="8"/>
        <v>5475997</v>
      </c>
      <c r="O61" s="33">
        <f t="shared" si="8"/>
        <v>7515997</v>
      </c>
      <c r="P61" s="21"/>
      <c r="Q61" s="20"/>
      <c r="R61" s="34"/>
    </row>
    <row r="62" spans="1:18" s="4" customFormat="1" ht="12.75">
      <c r="A62" s="22" t="s">
        <v>72</v>
      </c>
      <c r="B62" s="22" t="s">
        <v>316</v>
      </c>
      <c r="C62" s="206">
        <v>0</v>
      </c>
      <c r="D62" s="212">
        <v>506889.32</v>
      </c>
      <c r="E62" s="24">
        <v>0</v>
      </c>
      <c r="F62" s="23">
        <v>0</v>
      </c>
      <c r="G62" s="24"/>
      <c r="H62" s="23">
        <v>550000</v>
      </c>
      <c r="I62" s="26"/>
      <c r="J62" s="23"/>
      <c r="K62" s="23"/>
      <c r="L62" s="23"/>
      <c r="M62" s="23"/>
      <c r="N62" s="23">
        <f t="shared" si="2"/>
        <v>550000</v>
      </c>
      <c r="O62" s="28">
        <f>G62+N62</f>
        <v>550000</v>
      </c>
      <c r="P62" s="21"/>
      <c r="Q62" s="20"/>
      <c r="R62" s="20"/>
    </row>
    <row r="63" spans="1:18" s="4" customFormat="1" ht="12.75">
      <c r="A63" s="22" t="s">
        <v>73</v>
      </c>
      <c r="B63" s="22" t="s">
        <v>317</v>
      </c>
      <c r="C63" s="206">
        <v>574768.39</v>
      </c>
      <c r="D63" s="212">
        <v>1863809.5599999998</v>
      </c>
      <c r="E63" s="24">
        <v>720000</v>
      </c>
      <c r="F63" s="23">
        <v>578679.29</v>
      </c>
      <c r="G63" s="24">
        <f>720000-40000+20000+50000</f>
        <v>750000</v>
      </c>
      <c r="H63" s="23">
        <v>600000</v>
      </c>
      <c r="I63" s="26">
        <v>154480</v>
      </c>
      <c r="J63" s="23"/>
      <c r="K63" s="23">
        <v>3000</v>
      </c>
      <c r="L63" s="23">
        <v>270000</v>
      </c>
      <c r="M63" s="23">
        <v>304842</v>
      </c>
      <c r="N63" s="23">
        <f t="shared" si="2"/>
        <v>1332322</v>
      </c>
      <c r="O63" s="28">
        <f>G63+N63</f>
        <v>2082322</v>
      </c>
      <c r="P63" s="21"/>
      <c r="Q63" s="20"/>
      <c r="R63" s="20"/>
    </row>
    <row r="64" spans="1:18" s="4" customFormat="1" ht="12.75">
      <c r="A64" s="22" t="s">
        <v>74</v>
      </c>
      <c r="B64" s="22" t="s">
        <v>318</v>
      </c>
      <c r="C64" s="206">
        <v>863541.05</v>
      </c>
      <c r="D64" s="212">
        <v>997601.74</v>
      </c>
      <c r="E64" s="24">
        <v>810000</v>
      </c>
      <c r="F64" s="23">
        <v>731584.42</v>
      </c>
      <c r="G64" s="24">
        <f>790000+110000+100000</f>
        <v>1000000</v>
      </c>
      <c r="H64" s="23">
        <v>0</v>
      </c>
      <c r="I64" s="26">
        <v>99230</v>
      </c>
      <c r="J64" s="23">
        <v>11745</v>
      </c>
      <c r="K64" s="23">
        <v>18000</v>
      </c>
      <c r="L64" s="23">
        <f>10000+310000+2000</f>
        <v>322000</v>
      </c>
      <c r="M64" s="23">
        <v>27000</v>
      </c>
      <c r="N64" s="23">
        <f t="shared" si="2"/>
        <v>477975</v>
      </c>
      <c r="O64" s="28">
        <f>G64+N64</f>
        <v>1477975</v>
      </c>
      <c r="P64" s="21"/>
      <c r="Q64" s="20"/>
      <c r="R64" s="20"/>
    </row>
    <row r="65" spans="1:18" s="4" customFormat="1" ht="12.75">
      <c r="A65" s="22" t="s">
        <v>75</v>
      </c>
      <c r="B65" s="22" t="s">
        <v>319</v>
      </c>
      <c r="C65" s="206">
        <v>294215</v>
      </c>
      <c r="D65" s="212">
        <v>3293356.28</v>
      </c>
      <c r="E65" s="24">
        <v>280000</v>
      </c>
      <c r="F65" s="23">
        <v>334720.6</v>
      </c>
      <c r="G65" s="24">
        <v>290000</v>
      </c>
      <c r="H65" s="23">
        <v>2000</v>
      </c>
      <c r="I65" s="26">
        <v>3083200</v>
      </c>
      <c r="J65" s="23"/>
      <c r="K65" s="23"/>
      <c r="L65" s="23">
        <v>30500</v>
      </c>
      <c r="M65" s="23"/>
      <c r="N65" s="23">
        <f t="shared" si="2"/>
        <v>3115700</v>
      </c>
      <c r="O65" s="28">
        <f>G65+N65</f>
        <v>3405700</v>
      </c>
      <c r="P65" s="21"/>
      <c r="Q65" s="20"/>
      <c r="R65" s="20"/>
    </row>
    <row r="66" spans="1:18" s="35" customFormat="1" ht="12.75">
      <c r="A66" s="18" t="s">
        <v>76</v>
      </c>
      <c r="B66" s="18" t="s">
        <v>77</v>
      </c>
      <c r="C66" s="215">
        <v>189527.18</v>
      </c>
      <c r="D66" s="209">
        <v>390687.50000000006</v>
      </c>
      <c r="E66" s="33">
        <f>E67</f>
        <v>200000</v>
      </c>
      <c r="F66" s="19">
        <v>371718.88</v>
      </c>
      <c r="G66" s="33">
        <f aca="true" t="shared" si="9" ref="G66:O66">G67</f>
        <v>390000</v>
      </c>
      <c r="H66" s="19">
        <f t="shared" si="9"/>
        <v>8000</v>
      </c>
      <c r="I66" s="33">
        <f t="shared" si="9"/>
        <v>0</v>
      </c>
      <c r="J66" s="33">
        <f t="shared" si="9"/>
        <v>23920</v>
      </c>
      <c r="K66" s="33">
        <f t="shared" si="9"/>
        <v>0</v>
      </c>
      <c r="L66" s="33">
        <f t="shared" si="9"/>
        <v>0</v>
      </c>
      <c r="M66" s="33">
        <f t="shared" si="9"/>
        <v>0</v>
      </c>
      <c r="N66" s="33">
        <f t="shared" si="9"/>
        <v>31920</v>
      </c>
      <c r="O66" s="33">
        <f t="shared" si="9"/>
        <v>421920</v>
      </c>
      <c r="P66" s="21"/>
      <c r="Q66" s="20"/>
      <c r="R66" s="34"/>
    </row>
    <row r="67" spans="1:18" s="35" customFormat="1" ht="12.75">
      <c r="A67" s="22" t="s">
        <v>78</v>
      </c>
      <c r="B67" s="22" t="s">
        <v>79</v>
      </c>
      <c r="C67" s="206">
        <v>189527.18</v>
      </c>
      <c r="D67" s="212">
        <v>390687.50000000006</v>
      </c>
      <c r="E67" s="24">
        <v>200000</v>
      </c>
      <c r="F67" s="23">
        <v>371718.88</v>
      </c>
      <c r="G67" s="24">
        <v>390000</v>
      </c>
      <c r="H67" s="23">
        <v>8000</v>
      </c>
      <c r="I67" s="26"/>
      <c r="J67" s="23">
        <v>23920</v>
      </c>
      <c r="K67" s="23"/>
      <c r="L67" s="23"/>
      <c r="M67" s="23"/>
      <c r="N67" s="23">
        <f t="shared" si="2"/>
        <v>31920</v>
      </c>
      <c r="O67" s="28">
        <f>G67+N67</f>
        <v>421920</v>
      </c>
      <c r="P67" s="21"/>
      <c r="Q67" s="20"/>
      <c r="R67" s="34"/>
    </row>
    <row r="68" spans="1:18" s="35" customFormat="1" ht="12.75">
      <c r="A68" s="18" t="s">
        <v>80</v>
      </c>
      <c r="B68" s="18" t="s">
        <v>81</v>
      </c>
      <c r="C68" s="19">
        <v>91545752.67</v>
      </c>
      <c r="D68" s="209">
        <v>105750834.72</v>
      </c>
      <c r="E68" s="33">
        <f>SUM(E69:E73)</f>
        <v>97329074</v>
      </c>
      <c r="F68" s="19">
        <v>97482615.41999999</v>
      </c>
      <c r="G68" s="33">
        <f aca="true" t="shared" si="10" ref="G68:O68">SUM(G69:G73)</f>
        <v>106362926</v>
      </c>
      <c r="H68" s="19">
        <f t="shared" si="10"/>
        <v>880000</v>
      </c>
      <c r="I68" s="33">
        <f t="shared" si="10"/>
        <v>1840875</v>
      </c>
      <c r="J68" s="33">
        <f t="shared" si="10"/>
        <v>24000</v>
      </c>
      <c r="K68" s="33">
        <f t="shared" si="10"/>
        <v>1156070</v>
      </c>
      <c r="L68" s="33">
        <f t="shared" si="10"/>
        <v>1794750</v>
      </c>
      <c r="M68" s="33">
        <f t="shared" si="10"/>
        <v>3065239</v>
      </c>
      <c r="N68" s="33">
        <f t="shared" si="10"/>
        <v>8760934</v>
      </c>
      <c r="O68" s="33">
        <f t="shared" si="10"/>
        <v>115123860</v>
      </c>
      <c r="P68" s="21"/>
      <c r="Q68" s="20"/>
      <c r="R68" s="34"/>
    </row>
    <row r="69" spans="1:21" s="4" customFormat="1" ht="12.75">
      <c r="A69" s="22" t="s">
        <v>82</v>
      </c>
      <c r="B69" s="22" t="s">
        <v>83</v>
      </c>
      <c r="C69" s="206">
        <v>72603412.73</v>
      </c>
      <c r="D69" s="212">
        <v>81463035.80999999</v>
      </c>
      <c r="E69" s="24">
        <f>72700000+5480000</f>
        <v>78180000</v>
      </c>
      <c r="F69" s="23">
        <v>78445921.82</v>
      </c>
      <c r="G69" s="24">
        <f>78800000+7000000+899000</f>
        <v>86699000</v>
      </c>
      <c r="H69" s="23">
        <v>0</v>
      </c>
      <c r="I69" s="26">
        <v>430235</v>
      </c>
      <c r="J69" s="23"/>
      <c r="K69" s="23"/>
      <c r="L69" s="23">
        <v>310000</v>
      </c>
      <c r="M69" s="23">
        <v>1652725</v>
      </c>
      <c r="N69" s="23">
        <f t="shared" si="2"/>
        <v>2392960</v>
      </c>
      <c r="O69" s="28">
        <f>G69+N69</f>
        <v>89091960</v>
      </c>
      <c r="P69" s="21"/>
      <c r="Q69" s="20"/>
      <c r="R69" s="20"/>
      <c r="U69" s="21"/>
    </row>
    <row r="70" spans="1:18" s="4" customFormat="1" ht="12.75">
      <c r="A70" s="22" t="s">
        <v>84</v>
      </c>
      <c r="B70" s="22" t="s">
        <v>85</v>
      </c>
      <c r="C70" s="206">
        <v>6190280.9</v>
      </c>
      <c r="D70" s="212">
        <v>6866184</v>
      </c>
      <c r="E70" s="24">
        <v>6649074</v>
      </c>
      <c r="F70" s="23">
        <v>6651691.02</v>
      </c>
      <c r="G70" s="24">
        <v>7003926</v>
      </c>
      <c r="H70" s="23">
        <v>0</v>
      </c>
      <c r="I70" s="26"/>
      <c r="J70" s="23"/>
      <c r="K70" s="23"/>
      <c r="L70" s="23">
        <v>30000</v>
      </c>
      <c r="M70" s="23">
        <v>232074</v>
      </c>
      <c r="N70" s="23">
        <f t="shared" si="2"/>
        <v>262074</v>
      </c>
      <c r="O70" s="28">
        <f>G70+N70</f>
        <v>7266000</v>
      </c>
      <c r="P70" s="21"/>
      <c r="Q70" s="20"/>
      <c r="R70" s="20"/>
    </row>
    <row r="71" spans="1:18" s="4" customFormat="1" ht="12.75">
      <c r="A71" s="22" t="s">
        <v>86</v>
      </c>
      <c r="B71" s="22" t="s">
        <v>87</v>
      </c>
      <c r="C71" s="206">
        <v>8852920.77</v>
      </c>
      <c r="D71" s="212">
        <v>8567944.53</v>
      </c>
      <c r="E71" s="24">
        <v>8800000</v>
      </c>
      <c r="F71" s="23">
        <v>8567944.53</v>
      </c>
      <c r="G71" s="24">
        <f>8600000</f>
        <v>8600000</v>
      </c>
      <c r="H71" s="23">
        <v>0</v>
      </c>
      <c r="I71" s="26"/>
      <c r="J71" s="23"/>
      <c r="K71" s="23"/>
      <c r="L71" s="23"/>
      <c r="M71" s="23"/>
      <c r="N71" s="23">
        <f t="shared" si="2"/>
        <v>0</v>
      </c>
      <c r="O71" s="28">
        <f>G71+N71</f>
        <v>8600000</v>
      </c>
      <c r="P71" s="21"/>
      <c r="Q71" s="20"/>
      <c r="R71" s="20"/>
    </row>
    <row r="72" spans="1:18" s="4" customFormat="1" ht="12.75">
      <c r="A72" s="22" t="s">
        <v>88</v>
      </c>
      <c r="B72" s="22" t="s">
        <v>89</v>
      </c>
      <c r="C72" s="206">
        <v>1840746.63</v>
      </c>
      <c r="D72" s="212">
        <v>1881370.47</v>
      </c>
      <c r="E72" s="24">
        <v>1800000</v>
      </c>
      <c r="F72" s="23">
        <v>1866680.63</v>
      </c>
      <c r="G72" s="24">
        <f>60000+1880000+20000</f>
        <v>1960000</v>
      </c>
      <c r="H72" s="23">
        <v>0</v>
      </c>
      <c r="I72" s="26"/>
      <c r="J72" s="23"/>
      <c r="K72" s="23"/>
      <c r="L72" s="23">
        <v>6000</v>
      </c>
      <c r="M72" s="23"/>
      <c r="N72" s="23">
        <f t="shared" si="2"/>
        <v>6000</v>
      </c>
      <c r="O72" s="28">
        <f>G72+N72</f>
        <v>1966000</v>
      </c>
      <c r="P72" s="21"/>
      <c r="Q72" s="20"/>
      <c r="R72" s="20"/>
    </row>
    <row r="73" spans="1:18" s="4" customFormat="1" ht="12.75">
      <c r="A73" s="22" t="s">
        <v>90</v>
      </c>
      <c r="B73" s="22" t="s">
        <v>91</v>
      </c>
      <c r="C73" s="206">
        <v>2058391.64</v>
      </c>
      <c r="D73" s="212">
        <v>6972299.909999999</v>
      </c>
      <c r="E73" s="24">
        <v>1900000</v>
      </c>
      <c r="F73" s="23">
        <v>1950377.42</v>
      </c>
      <c r="G73" s="24">
        <f>1900000+200000</f>
        <v>2100000</v>
      </c>
      <c r="H73" s="23">
        <v>880000</v>
      </c>
      <c r="I73" s="26">
        <v>1410640</v>
      </c>
      <c r="J73" s="23">
        <v>24000</v>
      </c>
      <c r="K73" s="23">
        <v>1156070</v>
      </c>
      <c r="L73" s="23">
        <v>1448750</v>
      </c>
      <c r="M73" s="23">
        <v>1180440</v>
      </c>
      <c r="N73" s="23">
        <f aca="true" t="shared" si="11" ref="N73:N92">SUM(H73:M73)</f>
        <v>6099900</v>
      </c>
      <c r="O73" s="28">
        <f>G73+N73</f>
        <v>8199900</v>
      </c>
      <c r="P73" s="21"/>
      <c r="Q73" s="20"/>
      <c r="R73" s="20"/>
    </row>
    <row r="74" spans="1:18" s="4" customFormat="1" ht="12.75">
      <c r="A74" s="18" t="s">
        <v>92</v>
      </c>
      <c r="B74" s="18" t="s">
        <v>93</v>
      </c>
      <c r="C74" s="19">
        <v>21263826.12</v>
      </c>
      <c r="D74" s="209">
        <v>23590627.659999996</v>
      </c>
      <c r="E74" s="33">
        <f>SUM(E75:E76)</f>
        <v>23032350</v>
      </c>
      <c r="F74" s="19">
        <v>22379974.38</v>
      </c>
      <c r="G74" s="33">
        <f aca="true" t="shared" si="12" ref="G74:O74">SUM(G75:G76)</f>
        <v>23903000</v>
      </c>
      <c r="H74" s="19">
        <f t="shared" si="12"/>
        <v>114400</v>
      </c>
      <c r="I74" s="33">
        <f t="shared" si="12"/>
        <v>417610</v>
      </c>
      <c r="J74" s="33">
        <f t="shared" si="12"/>
        <v>3140</v>
      </c>
      <c r="K74" s="33">
        <f t="shared" si="12"/>
        <v>237850</v>
      </c>
      <c r="L74" s="33">
        <f t="shared" si="12"/>
        <v>298620</v>
      </c>
      <c r="M74" s="33">
        <f t="shared" si="12"/>
        <v>349057</v>
      </c>
      <c r="N74" s="33">
        <f t="shared" si="12"/>
        <v>1420677</v>
      </c>
      <c r="O74" s="33">
        <f t="shared" si="12"/>
        <v>25323677</v>
      </c>
      <c r="P74" s="21"/>
      <c r="Q74" s="20"/>
      <c r="R74" s="20"/>
    </row>
    <row r="75" spans="1:18" s="4" customFormat="1" ht="12.75">
      <c r="A75" s="22" t="s">
        <v>94</v>
      </c>
      <c r="B75" s="22" t="s">
        <v>95</v>
      </c>
      <c r="C75" s="206">
        <v>15011081.04</v>
      </c>
      <c r="D75" s="212">
        <v>17239698.85</v>
      </c>
      <c r="E75" s="24">
        <f>E68*17%+7.42+236400</f>
        <v>16782350</v>
      </c>
      <c r="F75" s="23">
        <v>16060636.16</v>
      </c>
      <c r="G75" s="24">
        <f>G68*16.5%+3117.21</f>
        <v>17553000</v>
      </c>
      <c r="H75" s="23">
        <f>H73*13%</f>
        <v>114400</v>
      </c>
      <c r="I75" s="26">
        <v>364410</v>
      </c>
      <c r="J75" s="23">
        <v>3140</v>
      </c>
      <c r="K75" s="23">
        <v>235050</v>
      </c>
      <c r="L75" s="23">
        <v>283220</v>
      </c>
      <c r="M75" s="23">
        <f>244019+105038</f>
        <v>349057</v>
      </c>
      <c r="N75" s="23">
        <f t="shared" si="11"/>
        <v>1349277</v>
      </c>
      <c r="O75" s="28">
        <f>G75+N75</f>
        <v>18902277</v>
      </c>
      <c r="P75" s="21"/>
      <c r="Q75" s="20"/>
      <c r="R75" s="20"/>
    </row>
    <row r="76" spans="1:18" s="4" customFormat="1" ht="12.75">
      <c r="A76" s="22" t="s">
        <v>96</v>
      </c>
      <c r="B76" s="22" t="s">
        <v>97</v>
      </c>
      <c r="C76" s="206">
        <v>6252745.08</v>
      </c>
      <c r="D76" s="212">
        <v>6350928.809999999</v>
      </c>
      <c r="E76" s="24">
        <v>6250000</v>
      </c>
      <c r="F76" s="23">
        <v>6319338.22</v>
      </c>
      <c r="G76" s="24">
        <f>6230000+40000+80000</f>
        <v>6350000</v>
      </c>
      <c r="H76" s="23">
        <v>0</v>
      </c>
      <c r="I76" s="26">
        <v>53200</v>
      </c>
      <c r="J76" s="23"/>
      <c r="K76" s="23">
        <v>2800</v>
      </c>
      <c r="L76" s="23">
        <v>15400</v>
      </c>
      <c r="M76" s="23"/>
      <c r="N76" s="23">
        <f t="shared" si="11"/>
        <v>71400</v>
      </c>
      <c r="O76" s="28">
        <f>G76+N76</f>
        <v>6421400</v>
      </c>
      <c r="P76" s="21"/>
      <c r="Q76" s="20"/>
      <c r="R76" s="20"/>
    </row>
    <row r="77" spans="1:18" s="35" customFormat="1" ht="12.75">
      <c r="A77" s="18" t="s">
        <v>98</v>
      </c>
      <c r="B77" s="18" t="s">
        <v>99</v>
      </c>
      <c r="C77" s="19">
        <v>129707383.21</v>
      </c>
      <c r="D77" s="209">
        <v>156993571.48999998</v>
      </c>
      <c r="E77" s="33">
        <f>E20+E25+E37+E42+E61+E66+E68+E74</f>
        <v>137917424</v>
      </c>
      <c r="F77" s="19">
        <v>136645629.38</v>
      </c>
      <c r="G77" s="33">
        <f>G20+G25+G37+G42+G61+G66+G68+G74</f>
        <v>148747926</v>
      </c>
      <c r="H77" s="19">
        <f>H74+H68+H66+H61+H42+H37+H25+H20</f>
        <v>4070700</v>
      </c>
      <c r="I77" s="33">
        <f aca="true" t="shared" si="13" ref="I77:O77">I20+I25+I37+I42+I61+I66+I68+I74</f>
        <v>6470395</v>
      </c>
      <c r="J77" s="33">
        <f t="shared" si="13"/>
        <v>753185</v>
      </c>
      <c r="K77" s="33">
        <f t="shared" si="13"/>
        <v>1615450</v>
      </c>
      <c r="L77" s="33">
        <f t="shared" si="13"/>
        <v>4663460</v>
      </c>
      <c r="M77" s="33">
        <f t="shared" si="13"/>
        <v>4689935</v>
      </c>
      <c r="N77" s="33">
        <f t="shared" si="13"/>
        <v>22263125</v>
      </c>
      <c r="O77" s="33">
        <f t="shared" si="13"/>
        <v>171011051</v>
      </c>
      <c r="P77" s="21"/>
      <c r="Q77" s="20"/>
      <c r="R77" s="34"/>
    </row>
    <row r="78" spans="1:18" s="4" customFormat="1" ht="12.75">
      <c r="A78" s="22" t="s">
        <v>100</v>
      </c>
      <c r="B78" s="22" t="s">
        <v>101</v>
      </c>
      <c r="C78" s="206">
        <v>0</v>
      </c>
      <c r="D78" s="210">
        <v>0</v>
      </c>
      <c r="E78" s="24"/>
      <c r="F78" s="23">
        <v>0</v>
      </c>
      <c r="G78" s="24"/>
      <c r="H78" s="23">
        <v>0</v>
      </c>
      <c r="I78" s="26"/>
      <c r="J78" s="23"/>
      <c r="K78" s="23"/>
      <c r="L78" s="23"/>
      <c r="M78" s="23"/>
      <c r="N78" s="23">
        <f t="shared" si="11"/>
        <v>0</v>
      </c>
      <c r="O78" s="28">
        <f>G78+N78</f>
        <v>0</v>
      </c>
      <c r="P78" s="21"/>
      <c r="Q78" s="20"/>
      <c r="R78" s="20"/>
    </row>
    <row r="79" spans="1:18" s="4" customFormat="1" ht="12.75">
      <c r="A79" s="22" t="s">
        <v>282</v>
      </c>
      <c r="B79" s="22" t="s">
        <v>102</v>
      </c>
      <c r="C79" s="206">
        <v>0</v>
      </c>
      <c r="D79" s="210">
        <v>0</v>
      </c>
      <c r="E79" s="24"/>
      <c r="F79" s="23">
        <v>0</v>
      </c>
      <c r="G79" s="24"/>
      <c r="H79" s="23">
        <v>0</v>
      </c>
      <c r="I79" s="26"/>
      <c r="J79" s="23"/>
      <c r="K79" s="23"/>
      <c r="L79" s="23"/>
      <c r="M79" s="23"/>
      <c r="N79" s="23">
        <f t="shared" si="11"/>
        <v>0</v>
      </c>
      <c r="O79" s="28">
        <f>G79+N79</f>
        <v>0</v>
      </c>
      <c r="P79" s="21"/>
      <c r="Q79" s="20"/>
      <c r="R79" s="20"/>
    </row>
    <row r="80" spans="1:18" s="4" customFormat="1" ht="12.75">
      <c r="A80" s="22" t="s">
        <v>104</v>
      </c>
      <c r="B80" s="22" t="s">
        <v>103</v>
      </c>
      <c r="C80" s="206">
        <v>0</v>
      </c>
      <c r="D80" s="210">
        <v>0</v>
      </c>
      <c r="E80" s="24"/>
      <c r="F80" s="23">
        <v>0</v>
      </c>
      <c r="G80" s="24"/>
      <c r="H80" s="23">
        <v>0</v>
      </c>
      <c r="I80" s="26"/>
      <c r="J80" s="23"/>
      <c r="K80" s="23"/>
      <c r="L80" s="23"/>
      <c r="M80" s="23"/>
      <c r="N80" s="23">
        <f t="shared" si="11"/>
        <v>0</v>
      </c>
      <c r="O80" s="28">
        <f>G80+N80</f>
        <v>0</v>
      </c>
      <c r="P80" s="21"/>
      <c r="Q80" s="20"/>
      <c r="R80" s="20"/>
    </row>
    <row r="81" spans="1:18" s="4" customFormat="1" ht="12.75">
      <c r="A81" s="22" t="s">
        <v>283</v>
      </c>
      <c r="B81" s="22" t="s">
        <v>105</v>
      </c>
      <c r="C81" s="206">
        <v>-1886965.7</v>
      </c>
      <c r="D81" s="210">
        <v>0</v>
      </c>
      <c r="E81" s="24">
        <v>-2062709</v>
      </c>
      <c r="F81" s="23">
        <v>-1960646.99</v>
      </c>
      <c r="G81" s="24">
        <f>-N81</f>
        <v>-2152810</v>
      </c>
      <c r="H81" s="23">
        <f>H77*19%-347-6</f>
        <v>773080</v>
      </c>
      <c r="I81" s="26">
        <v>244950</v>
      </c>
      <c r="J81" s="23">
        <v>69950</v>
      </c>
      <c r="K81" s="23">
        <v>252650</v>
      </c>
      <c r="L81" s="23">
        <v>667599</v>
      </c>
      <c r="M81" s="23">
        <v>144581</v>
      </c>
      <c r="N81" s="23">
        <f t="shared" si="11"/>
        <v>2152810</v>
      </c>
      <c r="O81" s="28">
        <f>G81+N81</f>
        <v>0</v>
      </c>
      <c r="P81" s="21"/>
      <c r="Q81" s="20"/>
      <c r="R81" s="20"/>
    </row>
    <row r="82" spans="1:18" s="4" customFormat="1" ht="12.75">
      <c r="A82" s="22" t="s">
        <v>106</v>
      </c>
      <c r="B82" s="22" t="s">
        <v>107</v>
      </c>
      <c r="C82" s="214">
        <v>-1886965.7</v>
      </c>
      <c r="D82" s="210">
        <v>0</v>
      </c>
      <c r="E82" s="30">
        <f>SUM(E78:E81)</f>
        <v>-2062709</v>
      </c>
      <c r="F82" s="27">
        <v>-1960646.99</v>
      </c>
      <c r="G82" s="30">
        <f aca="true" t="shared" si="14" ref="G82:M82">SUM(G78:G81)</f>
        <v>-2152810</v>
      </c>
      <c r="H82" s="27">
        <f>H78+H79+H80+H81</f>
        <v>773080</v>
      </c>
      <c r="I82" s="27">
        <f t="shared" si="14"/>
        <v>244950</v>
      </c>
      <c r="J82" s="27">
        <f t="shared" si="14"/>
        <v>69950</v>
      </c>
      <c r="K82" s="27">
        <f t="shared" si="14"/>
        <v>252650</v>
      </c>
      <c r="L82" s="27">
        <f t="shared" si="14"/>
        <v>667599</v>
      </c>
      <c r="M82" s="27">
        <f t="shared" si="14"/>
        <v>144581</v>
      </c>
      <c r="N82" s="27">
        <f t="shared" si="11"/>
        <v>2152810</v>
      </c>
      <c r="O82" s="28">
        <f>G82+N82</f>
        <v>0</v>
      </c>
      <c r="P82" s="21"/>
      <c r="Q82" s="20"/>
      <c r="R82" s="20"/>
    </row>
    <row r="83" spans="1:18" s="4" customFormat="1" ht="12.75" customHeight="1">
      <c r="A83" s="37" t="s">
        <v>25</v>
      </c>
      <c r="B83" s="37" t="s">
        <v>108</v>
      </c>
      <c r="C83" s="38">
        <v>127820417.50999999</v>
      </c>
      <c r="D83" s="211">
        <v>156993571.48999998</v>
      </c>
      <c r="E83" s="38">
        <f>E77+E82</f>
        <v>135854715</v>
      </c>
      <c r="F83" s="38">
        <v>134684982.39</v>
      </c>
      <c r="G83" s="38">
        <f>G77+G82</f>
        <v>146595116</v>
      </c>
      <c r="H83" s="38">
        <f>H77+H82</f>
        <v>4843780</v>
      </c>
      <c r="I83" s="38">
        <f aca="true" t="shared" si="15" ref="I83:O83">I77+I82</f>
        <v>6715345</v>
      </c>
      <c r="J83" s="38">
        <f t="shared" si="15"/>
        <v>823135</v>
      </c>
      <c r="K83" s="38">
        <f t="shared" si="15"/>
        <v>1868100</v>
      </c>
      <c r="L83" s="38">
        <f t="shared" si="15"/>
        <v>5331059</v>
      </c>
      <c r="M83" s="38">
        <f t="shared" si="15"/>
        <v>4834516</v>
      </c>
      <c r="N83" s="38">
        <f t="shared" si="15"/>
        <v>24415935</v>
      </c>
      <c r="O83" s="38">
        <f t="shared" si="15"/>
        <v>171011051</v>
      </c>
      <c r="P83" s="21"/>
      <c r="Q83" s="20"/>
      <c r="R83" s="20"/>
    </row>
    <row r="84" spans="1:18" s="4" customFormat="1" ht="12.75">
      <c r="A84" s="18" t="s">
        <v>109</v>
      </c>
      <c r="B84" s="18" t="s">
        <v>110</v>
      </c>
      <c r="C84" s="19">
        <v>-1644684.3199999928</v>
      </c>
      <c r="D84" s="209">
        <f>D8-D83</f>
        <v>362209.26000002027</v>
      </c>
      <c r="E84" s="33">
        <f>E8-E77-E82</f>
        <v>-1137615</v>
      </c>
      <c r="F84" s="19">
        <f>F8-F83</f>
        <v>-114235.62000000477</v>
      </c>
      <c r="G84" s="33">
        <f aca="true" t="shared" si="16" ref="G84:O84">G8-G77-G82</f>
        <v>-2455956.00333333</v>
      </c>
      <c r="H84" s="33">
        <f t="shared" si="16"/>
        <v>0</v>
      </c>
      <c r="I84" s="33">
        <f t="shared" si="16"/>
        <v>-140415</v>
      </c>
      <c r="J84" s="33">
        <f t="shared" si="16"/>
        <v>-22890</v>
      </c>
      <c r="K84" s="33">
        <f t="shared" si="16"/>
        <v>108978</v>
      </c>
      <c r="L84" s="33">
        <f t="shared" si="16"/>
        <v>181741</v>
      </c>
      <c r="M84" s="33">
        <f t="shared" si="16"/>
        <v>10817</v>
      </c>
      <c r="N84" s="33">
        <f t="shared" si="16"/>
        <v>138231</v>
      </c>
      <c r="O84" s="33">
        <f t="shared" si="16"/>
        <v>-2317725.00333333</v>
      </c>
      <c r="P84" s="21"/>
      <c r="Q84" s="20"/>
      <c r="R84" s="20"/>
    </row>
    <row r="85" spans="1:18" s="4" customFormat="1" ht="12.75">
      <c r="A85" s="22" t="s">
        <v>111</v>
      </c>
      <c r="B85" s="22" t="s">
        <v>112</v>
      </c>
      <c r="C85" s="206">
        <v>906479.91</v>
      </c>
      <c r="D85" s="212">
        <v>1268451.9</v>
      </c>
      <c r="E85" s="24">
        <v>977800</v>
      </c>
      <c r="F85" s="23">
        <v>1078230.02</v>
      </c>
      <c r="G85" s="24">
        <f>1048000+952300</f>
        <v>2000300</v>
      </c>
      <c r="H85" s="25">
        <v>0</v>
      </c>
      <c r="I85" s="26">
        <v>149785</v>
      </c>
      <c r="J85" s="23"/>
      <c r="K85" s="23"/>
      <c r="L85" s="23"/>
      <c r="M85" s="23"/>
      <c r="N85" s="23">
        <f>SUM(H85:M85)</f>
        <v>149785</v>
      </c>
      <c r="O85" s="28">
        <f>G85+N85</f>
        <v>2150085</v>
      </c>
      <c r="P85" s="21"/>
      <c r="Q85" s="20"/>
      <c r="R85" s="20"/>
    </row>
    <row r="86" spans="1:18" s="4" customFormat="1" ht="12.75">
      <c r="A86" s="22" t="s">
        <v>113</v>
      </c>
      <c r="B86" s="22" t="s">
        <v>114</v>
      </c>
      <c r="C86" s="206">
        <v>553789.65</v>
      </c>
      <c r="D86" s="212">
        <v>527796.21</v>
      </c>
      <c r="E86" s="24">
        <v>390000</v>
      </c>
      <c r="F86" s="23">
        <v>527227.24</v>
      </c>
      <c r="G86" s="24">
        <v>390000</v>
      </c>
      <c r="H86" s="25">
        <v>0</v>
      </c>
      <c r="I86" s="26"/>
      <c r="J86" s="23"/>
      <c r="K86" s="23"/>
      <c r="L86" s="23"/>
      <c r="M86" s="23"/>
      <c r="N86" s="23">
        <f t="shared" si="11"/>
        <v>0</v>
      </c>
      <c r="O86" s="28">
        <f>G86+N86</f>
        <v>390000</v>
      </c>
      <c r="P86" s="21"/>
      <c r="Q86" s="20"/>
      <c r="R86" s="20"/>
    </row>
    <row r="87" spans="1:18" s="4" customFormat="1" ht="12.75">
      <c r="A87" s="18" t="s">
        <v>115</v>
      </c>
      <c r="B87" s="18" t="s">
        <v>116</v>
      </c>
      <c r="C87" s="19">
        <v>-1291994.0599999928</v>
      </c>
      <c r="D87" s="209">
        <f>D84+D85-D86</f>
        <v>1102864.9500000202</v>
      </c>
      <c r="E87" s="33">
        <f>E84+E85-E86</f>
        <v>-549815</v>
      </c>
      <c r="F87" s="19">
        <f>F84+F85-F86</f>
        <v>436767.15999999526</v>
      </c>
      <c r="G87" s="33">
        <f aca="true" t="shared" si="17" ref="G87:O87">G84+G85-G86</f>
        <v>-845656.0033333302</v>
      </c>
      <c r="H87" s="33">
        <f t="shared" si="17"/>
        <v>0</v>
      </c>
      <c r="I87" s="33">
        <f t="shared" si="17"/>
        <v>9370</v>
      </c>
      <c r="J87" s="33">
        <f t="shared" si="17"/>
        <v>-22890</v>
      </c>
      <c r="K87" s="33">
        <f t="shared" si="17"/>
        <v>108978</v>
      </c>
      <c r="L87" s="33">
        <f t="shared" si="17"/>
        <v>181741</v>
      </c>
      <c r="M87" s="33">
        <f t="shared" si="17"/>
        <v>10817</v>
      </c>
      <c r="N87" s="33">
        <f t="shared" si="17"/>
        <v>288016</v>
      </c>
      <c r="O87" s="33">
        <f t="shared" si="17"/>
        <v>-557640.0033333302</v>
      </c>
      <c r="P87" s="21"/>
      <c r="Q87" s="20"/>
      <c r="R87" s="20"/>
    </row>
    <row r="88" spans="1:18" s="4" customFormat="1" ht="12.75">
      <c r="A88" s="22" t="s">
        <v>117</v>
      </c>
      <c r="B88" s="22" t="s">
        <v>118</v>
      </c>
      <c r="C88" s="206">
        <v>1059693.36</v>
      </c>
      <c r="D88" s="212">
        <v>1322819.75</v>
      </c>
      <c r="E88" s="24">
        <v>900000</v>
      </c>
      <c r="F88" s="23">
        <v>1097587.85</v>
      </c>
      <c r="G88" s="24">
        <v>850000</v>
      </c>
      <c r="H88" s="25">
        <v>0</v>
      </c>
      <c r="I88" s="26"/>
      <c r="J88" s="23"/>
      <c r="K88" s="23"/>
      <c r="L88" s="23"/>
      <c r="M88" s="23"/>
      <c r="N88" s="23">
        <f t="shared" si="11"/>
        <v>0</v>
      </c>
      <c r="O88" s="28">
        <f>G88+N88</f>
        <v>850000</v>
      </c>
      <c r="P88" s="21"/>
      <c r="Q88" s="20"/>
      <c r="R88" s="20"/>
    </row>
    <row r="89" spans="1:18" s="4" customFormat="1" ht="12.75">
      <c r="A89" s="22" t="s">
        <v>119</v>
      </c>
      <c r="B89" s="22" t="s">
        <v>120</v>
      </c>
      <c r="C89" s="206">
        <v>153602.67</v>
      </c>
      <c r="D89" s="212">
        <v>48830.18</v>
      </c>
      <c r="E89" s="24">
        <v>50000</v>
      </c>
      <c r="F89" s="23">
        <v>29815.52</v>
      </c>
      <c r="G89" s="24">
        <v>10000</v>
      </c>
      <c r="H89" s="25">
        <v>0</v>
      </c>
      <c r="I89" s="26"/>
      <c r="J89" s="23"/>
      <c r="K89" s="23"/>
      <c r="L89" s="23"/>
      <c r="M89" s="23"/>
      <c r="N89" s="23">
        <f t="shared" si="11"/>
        <v>0</v>
      </c>
      <c r="O89" s="28">
        <f>G89+N89</f>
        <v>10000</v>
      </c>
      <c r="P89" s="21"/>
      <c r="Q89" s="20"/>
      <c r="R89" s="20"/>
    </row>
    <row r="90" spans="1:18" s="4" customFormat="1" ht="12.75">
      <c r="A90" s="18" t="s">
        <v>121</v>
      </c>
      <c r="B90" s="18" t="s">
        <v>122</v>
      </c>
      <c r="C90" s="19">
        <v>-385903.3699999928</v>
      </c>
      <c r="D90" s="209">
        <f>D87+D88-D89</f>
        <v>2376854.52000002</v>
      </c>
      <c r="E90" s="19">
        <f>E87+E88-E89</f>
        <v>300185</v>
      </c>
      <c r="F90" s="19">
        <f>F87+F88-F89</f>
        <v>1504539.4899999953</v>
      </c>
      <c r="G90" s="19">
        <f aca="true" t="shared" si="18" ref="G90:M90">G87+G88-G89</f>
        <v>-5656.003333330154</v>
      </c>
      <c r="H90" s="19">
        <f t="shared" si="18"/>
        <v>0</v>
      </c>
      <c r="I90" s="19">
        <f t="shared" si="18"/>
        <v>9370</v>
      </c>
      <c r="J90" s="19">
        <f t="shared" si="18"/>
        <v>-22890</v>
      </c>
      <c r="K90" s="19">
        <f t="shared" si="18"/>
        <v>108978</v>
      </c>
      <c r="L90" s="19">
        <f t="shared" si="18"/>
        <v>181741</v>
      </c>
      <c r="M90" s="19">
        <f t="shared" si="18"/>
        <v>10817</v>
      </c>
      <c r="N90" s="19">
        <f t="shared" si="11"/>
        <v>288016</v>
      </c>
      <c r="O90" s="19">
        <f>O87+O88-O89</f>
        <v>282359.99666666985</v>
      </c>
      <c r="P90" s="21"/>
      <c r="Q90" s="20"/>
      <c r="R90" s="20"/>
    </row>
    <row r="91" spans="1:18" s="4" customFormat="1" ht="12.75">
      <c r="A91" s="22" t="s">
        <v>123</v>
      </c>
      <c r="B91" s="22" t="s">
        <v>124</v>
      </c>
      <c r="C91" s="206">
        <v>0</v>
      </c>
      <c r="D91" s="212">
        <v>9960</v>
      </c>
      <c r="E91" s="24">
        <v>0</v>
      </c>
      <c r="F91" s="23">
        <v>9960</v>
      </c>
      <c r="G91" s="24">
        <v>0</v>
      </c>
      <c r="H91" s="25">
        <v>0</v>
      </c>
      <c r="I91" s="26"/>
      <c r="J91" s="23"/>
      <c r="K91" s="23"/>
      <c r="L91" s="23"/>
      <c r="M91" s="23"/>
      <c r="N91" s="23">
        <f t="shared" si="11"/>
        <v>0</v>
      </c>
      <c r="O91" s="28">
        <f>G91+N91</f>
        <v>0</v>
      </c>
      <c r="P91" s="21"/>
      <c r="Q91" s="20"/>
      <c r="R91" s="20"/>
    </row>
    <row r="92" spans="1:17" s="4" customFormat="1" ht="21.75" customHeight="1">
      <c r="A92" s="29" t="s">
        <v>125</v>
      </c>
      <c r="B92" s="29" t="s">
        <v>126</v>
      </c>
      <c r="C92" s="19">
        <v>-385903.3699999928</v>
      </c>
      <c r="D92" s="209">
        <f>D90-D91</f>
        <v>2366894.52000002</v>
      </c>
      <c r="E92" s="30">
        <f>E90-E91</f>
        <v>300185</v>
      </c>
      <c r="F92" s="19">
        <f>F90-F91</f>
        <v>1494579.4899999953</v>
      </c>
      <c r="G92" s="30">
        <f aca="true" t="shared" si="19" ref="G92:M92">G90-G91</f>
        <v>-5656.003333330154</v>
      </c>
      <c r="H92" s="27">
        <f t="shared" si="19"/>
        <v>0</v>
      </c>
      <c r="I92" s="27">
        <f t="shared" si="19"/>
        <v>9370</v>
      </c>
      <c r="J92" s="27">
        <f t="shared" si="19"/>
        <v>-22890</v>
      </c>
      <c r="K92" s="27">
        <f t="shared" si="19"/>
        <v>108978</v>
      </c>
      <c r="L92" s="27">
        <f t="shared" si="19"/>
        <v>181741</v>
      </c>
      <c r="M92" s="27">
        <f t="shared" si="19"/>
        <v>10817</v>
      </c>
      <c r="N92" s="27">
        <f t="shared" si="11"/>
        <v>288016</v>
      </c>
      <c r="O92" s="28">
        <f>O90-O91</f>
        <v>282359.99666666985</v>
      </c>
      <c r="P92" s="21"/>
      <c r="Q92" s="20"/>
    </row>
    <row r="93" spans="1:15" s="4" customFormat="1" ht="12.75">
      <c r="A93" s="39" t="s">
        <v>353</v>
      </c>
      <c r="B93" s="5"/>
      <c r="C93" s="208"/>
      <c r="D93" s="208"/>
      <c r="E93" s="40"/>
      <c r="F93" s="40"/>
      <c r="G93" s="40"/>
      <c r="I93" s="5"/>
      <c r="J93" s="5"/>
      <c r="K93" s="5"/>
      <c r="L93" s="5"/>
      <c r="M93" s="5"/>
      <c r="N93" s="5"/>
      <c r="O93" s="5"/>
    </row>
    <row r="94" spans="1:15" s="4" customFormat="1" ht="12.75">
      <c r="A94" s="5" t="s">
        <v>1</v>
      </c>
      <c r="B94" s="5"/>
      <c r="C94" s="6"/>
      <c r="D94" s="6"/>
      <c r="E94" s="5"/>
      <c r="F94" s="41"/>
      <c r="G94" s="42"/>
      <c r="H94" s="40"/>
      <c r="I94" s="5"/>
      <c r="J94" s="41"/>
      <c r="K94" s="5"/>
      <c r="L94" s="5"/>
      <c r="M94" s="41"/>
      <c r="N94" s="41"/>
      <c r="O94" s="7"/>
    </row>
    <row r="95" spans="1:15" s="4" customFormat="1" ht="12.75">
      <c r="A95" s="5" t="s">
        <v>1</v>
      </c>
      <c r="B95" s="5"/>
      <c r="C95" s="6"/>
      <c r="D95" s="6"/>
      <c r="E95" s="5"/>
      <c r="F95" s="41"/>
      <c r="G95" s="7"/>
      <c r="H95" s="41"/>
      <c r="I95" s="5"/>
      <c r="J95" s="41"/>
      <c r="K95" s="5"/>
      <c r="L95" s="5"/>
      <c r="M95" s="41"/>
      <c r="N95" s="5"/>
      <c r="O95" s="41"/>
    </row>
    <row r="96" spans="2:15" s="4" customFormat="1" ht="12.75">
      <c r="B96" s="16"/>
      <c r="C96" s="16"/>
      <c r="D96" s="16"/>
      <c r="E96" s="20"/>
      <c r="F96" s="43" t="s">
        <v>1</v>
      </c>
      <c r="G96" s="21"/>
      <c r="H96" s="20"/>
      <c r="K96" s="21"/>
      <c r="M96" s="20"/>
      <c r="O96" s="20"/>
    </row>
    <row r="97" spans="2:15" s="4" customFormat="1" ht="12.75">
      <c r="B97" s="44"/>
      <c r="C97" s="16"/>
      <c r="D97" s="16"/>
      <c r="E97" s="20"/>
      <c r="G97" s="21"/>
      <c r="K97" s="21"/>
      <c r="L97" s="20"/>
      <c r="N97" s="21"/>
      <c r="O97" s="21"/>
    </row>
    <row r="98" spans="2:15" s="4" customFormat="1" ht="12.75">
      <c r="B98" s="44"/>
      <c r="C98" s="16"/>
      <c r="D98" s="16"/>
      <c r="E98" s="20"/>
      <c r="H98" s="21"/>
      <c r="K98" s="21"/>
      <c r="M98" s="20"/>
      <c r="N98" s="20"/>
      <c r="O98" s="21"/>
    </row>
    <row r="99" spans="2:15" s="4" customFormat="1" ht="12.75">
      <c r="B99" s="44"/>
      <c r="C99" s="16"/>
      <c r="D99" s="16"/>
      <c r="E99" s="20"/>
      <c r="H99" s="20"/>
      <c r="K99" s="21"/>
      <c r="M99" s="20"/>
      <c r="O99" s="21"/>
    </row>
    <row r="100" spans="2:15" s="4" customFormat="1" ht="12.75">
      <c r="B100" s="44"/>
      <c r="C100" s="16"/>
      <c r="D100" s="16"/>
      <c r="L100" s="20"/>
      <c r="O100" s="21"/>
    </row>
    <row r="101" spans="2:9" ht="12.75">
      <c r="B101" s="45"/>
      <c r="I101" s="47"/>
    </row>
    <row r="102" spans="2:8" ht="12.75">
      <c r="B102" s="45"/>
      <c r="E102" s="46"/>
      <c r="F102" s="46"/>
      <c r="G102" s="46"/>
      <c r="H102" s="46"/>
    </row>
    <row r="103" spans="2:8" ht="12.75">
      <c r="B103" s="46"/>
      <c r="E103" s="47"/>
      <c r="F103" s="47"/>
      <c r="G103" s="47"/>
      <c r="H103" s="47"/>
    </row>
    <row r="104" spans="2:8" ht="12.75">
      <c r="B104" s="46"/>
      <c r="E104" s="47"/>
      <c r="F104" s="47"/>
      <c r="G104" s="47"/>
      <c r="H104" s="47"/>
    </row>
    <row r="105" spans="5:8" ht="12.75">
      <c r="E105" s="47"/>
      <c r="F105" s="47"/>
      <c r="G105" s="47"/>
      <c r="H105" s="47"/>
    </row>
    <row r="106" spans="5:8" ht="12.75">
      <c r="E106" s="47"/>
      <c r="F106" s="47"/>
      <c r="G106" s="47"/>
      <c r="H106" s="47"/>
    </row>
  </sheetData>
  <sheetProtection/>
  <mergeCells count="15">
    <mergeCell ref="A5:A7"/>
    <mergeCell ref="B5:B7"/>
    <mergeCell ref="C5:C7"/>
    <mergeCell ref="E5:E7"/>
    <mergeCell ref="F5:F7"/>
    <mergeCell ref="G5:G7"/>
    <mergeCell ref="D5:D7"/>
    <mergeCell ref="N5:N6"/>
    <mergeCell ref="O5:O7"/>
    <mergeCell ref="H5:H6"/>
    <mergeCell ref="I5:I6"/>
    <mergeCell ref="J5:J6"/>
    <mergeCell ref="K5:K6"/>
    <mergeCell ref="L5:L6"/>
    <mergeCell ref="M5:M6"/>
  </mergeCells>
  <printOptions/>
  <pageMargins left="0.5905511811023623" right="0" top="0.1968503937007874" bottom="0.7874015748031497" header="0.5118110236220472" footer="0.5118110236220472"/>
  <pageSetup horizontalDpi="600" verticalDpi="600" orientation="landscape" paperSize="8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SheetLayoutView="80" zoomScalePageLayoutView="0" workbookViewId="0" topLeftCell="A1">
      <pane xSplit="3" ySplit="3" topLeftCell="E20" activePane="bottomRight" state="frozen"/>
      <selection pane="topLeft" activeCell="B1" sqref="B1"/>
      <selection pane="topRight" activeCell="E1" sqref="E1"/>
      <selection pane="bottomLeft" activeCell="B5" sqref="B5"/>
      <selection pane="bottomRight" activeCell="K7" sqref="K7"/>
    </sheetView>
  </sheetViews>
  <sheetFormatPr defaultColWidth="9.140625" defaultRowHeight="12.75" outlineLevelCol="1"/>
  <cols>
    <col min="1" max="1" width="12.00390625" style="48" hidden="1" customWidth="1" outlineLevel="1"/>
    <col min="2" max="2" width="5.7109375" style="120" customWidth="1" collapsed="1"/>
    <col min="3" max="3" width="43.8515625" style="120" customWidth="1"/>
    <col min="4" max="4" width="17.28125" style="49" hidden="1" customWidth="1"/>
    <col min="5" max="7" width="17.28125" style="49" customWidth="1"/>
    <col min="8" max="8" width="19.57421875" style="49" hidden="1" customWidth="1" outlineLevel="1"/>
    <col min="9" max="9" width="13.28125" style="49" hidden="1" customWidth="1"/>
    <col min="10" max="10" width="15.140625" style="50" bestFit="1" customWidth="1"/>
    <col min="11" max="11" width="13.8515625" style="50" bestFit="1" customWidth="1"/>
    <col min="12" max="12" width="11.7109375" style="50" bestFit="1" customWidth="1"/>
    <col min="13" max="16384" width="9.140625" style="50" customWidth="1"/>
  </cols>
  <sheetData>
    <row r="1" spans="2:8" ht="15">
      <c r="B1" s="232" t="s">
        <v>336</v>
      </c>
      <c r="C1" s="232"/>
      <c r="D1" s="232"/>
      <c r="E1" s="232"/>
      <c r="F1" s="232"/>
      <c r="G1" s="232"/>
      <c r="H1" s="232"/>
    </row>
    <row r="2" spans="1:9" ht="23.25" customHeight="1">
      <c r="A2" s="51"/>
      <c r="B2" s="52" t="s">
        <v>127</v>
      </c>
      <c r="C2" s="52"/>
      <c r="D2" s="52"/>
      <c r="E2" s="52"/>
      <c r="F2" s="52"/>
      <c r="G2" s="52" t="s">
        <v>128</v>
      </c>
      <c r="H2" s="53"/>
      <c r="I2" s="52"/>
    </row>
    <row r="3" spans="1:9" ht="45" customHeight="1">
      <c r="A3" s="54"/>
      <c r="B3" s="55" t="s">
        <v>129</v>
      </c>
      <c r="C3" s="55" t="s">
        <v>127</v>
      </c>
      <c r="D3" s="56" t="s">
        <v>130</v>
      </c>
      <c r="E3" s="56" t="s">
        <v>329</v>
      </c>
      <c r="F3" s="56" t="s">
        <v>323</v>
      </c>
      <c r="G3" s="56" t="s">
        <v>131</v>
      </c>
      <c r="H3" s="57" t="s">
        <v>132</v>
      </c>
      <c r="I3" s="58" t="s">
        <v>133</v>
      </c>
    </row>
    <row r="4" spans="1:9" ht="22.5" customHeight="1">
      <c r="A4" s="59"/>
      <c r="B4" s="233" t="s">
        <v>134</v>
      </c>
      <c r="C4" s="233"/>
      <c r="D4" s="233"/>
      <c r="E4" s="233"/>
      <c r="F4" s="233"/>
      <c r="G4" s="233"/>
      <c r="H4" s="233"/>
      <c r="I4" s="60"/>
    </row>
    <row r="5" spans="1:11" ht="30.75" customHeight="1">
      <c r="A5" s="61"/>
      <c r="B5" s="62" t="s">
        <v>125</v>
      </c>
      <c r="C5" s="62" t="s">
        <v>135</v>
      </c>
      <c r="D5" s="63">
        <f>D6+D7+D12</f>
        <v>126432997.67999999</v>
      </c>
      <c r="E5" s="63">
        <f>E6+E7+E12</f>
        <v>135627200</v>
      </c>
      <c r="F5" s="63">
        <f>F6+F7+F12</f>
        <v>137143821.72</v>
      </c>
      <c r="G5" s="63">
        <f>G6+G7+G12</f>
        <v>144303159.96666667</v>
      </c>
      <c r="H5" s="64">
        <f>H6+H7+H12</f>
        <v>126010939.66666667</v>
      </c>
      <c r="I5" s="65" t="e">
        <f>H5/#REF!</f>
        <v>#REF!</v>
      </c>
      <c r="K5" s="218"/>
    </row>
    <row r="6" spans="1:11" ht="24.75" customHeight="1">
      <c r="A6" s="66">
        <v>700001</v>
      </c>
      <c r="B6" s="67" t="s">
        <v>136</v>
      </c>
      <c r="C6" s="67" t="s">
        <v>137</v>
      </c>
      <c r="D6" s="68">
        <f>83476100+420300+673950</f>
        <v>84570350</v>
      </c>
      <c r="E6" s="68">
        <v>94979800</v>
      </c>
      <c r="F6" s="68">
        <v>95746900</v>
      </c>
      <c r="G6" s="68">
        <f>8896800+95516200+1000000</f>
        <v>105413000</v>
      </c>
      <c r="H6" s="69">
        <v>84418800</v>
      </c>
      <c r="I6" s="70" t="e">
        <f>H6/#REF!</f>
        <v>#REF!</v>
      </c>
      <c r="J6" s="71"/>
      <c r="K6" s="131"/>
    </row>
    <row r="7" spans="2:12" ht="25.5" customHeight="1">
      <c r="B7" s="67" t="s">
        <v>138</v>
      </c>
      <c r="C7" s="67" t="s">
        <v>139</v>
      </c>
      <c r="D7" s="68">
        <f>D8+D9+D10</f>
        <v>38840171.47</v>
      </c>
      <c r="E7" s="68">
        <f>E8+E9+E10</f>
        <v>37920400</v>
      </c>
      <c r="F7" s="68">
        <f>F8+F9+F10</f>
        <v>38050394.75</v>
      </c>
      <c r="G7" s="68">
        <f>G8+G9+G10</f>
        <v>36057159.96666667</v>
      </c>
      <c r="H7" s="69">
        <f>H8+H9+H10</f>
        <v>38839139.66666667</v>
      </c>
      <c r="I7" s="65" t="e">
        <f>H7/#REF!</f>
        <v>#REF!</v>
      </c>
      <c r="J7" s="72"/>
      <c r="K7" s="131"/>
      <c r="L7" s="71"/>
    </row>
    <row r="8" spans="1:12" s="78" customFormat="1" ht="30" customHeight="1">
      <c r="A8" s="73" t="s">
        <v>140</v>
      </c>
      <c r="B8" s="67" t="s">
        <v>337</v>
      </c>
      <c r="C8" s="74" t="s">
        <v>141</v>
      </c>
      <c r="D8" s="75">
        <v>34218871.89</v>
      </c>
      <c r="E8" s="75">
        <v>33809200</v>
      </c>
      <c r="F8" s="75">
        <v>33485833.02</v>
      </c>
      <c r="G8" s="75">
        <f>'czesne +ang'!H16+'czesne +ang'!H28+'czesne +ang'!H35+1</f>
        <v>31636094</v>
      </c>
      <c r="H8" s="76">
        <f>'[1]czesne'!H16+'[1]czesne'!H29</f>
        <v>35666973.333333336</v>
      </c>
      <c r="I8" s="65" t="e">
        <f>H8/#REF!</f>
        <v>#REF!</v>
      </c>
      <c r="J8" s="77"/>
      <c r="K8" s="84"/>
      <c r="L8" s="79"/>
    </row>
    <row r="9" spans="1:11" s="78" customFormat="1" ht="24" customHeight="1">
      <c r="A9" s="80"/>
      <c r="B9" s="67" t="s">
        <v>338</v>
      </c>
      <c r="C9" s="81" t="s">
        <v>142</v>
      </c>
      <c r="D9" s="82">
        <f>621732.9</f>
        <v>621732.9</v>
      </c>
      <c r="E9" s="82">
        <v>611200</v>
      </c>
      <c r="F9" s="82">
        <v>601408.35</v>
      </c>
      <c r="G9" s="82">
        <f>'czesne +ang'!H58+'czesne +ang'!H47-0.7</f>
        <v>521065.9666666667</v>
      </c>
      <c r="H9" s="83">
        <f>'[1]czesne'!H55+'[1]czesne'!H43</f>
        <v>722166.3333333333</v>
      </c>
      <c r="I9" s="65" t="e">
        <f>H9/#REF!</f>
        <v>#REF!</v>
      </c>
      <c r="J9" s="84"/>
      <c r="K9" s="84"/>
    </row>
    <row r="10" spans="1:12" s="78" customFormat="1" ht="29.25" customHeight="1">
      <c r="A10" s="80">
        <v>700003</v>
      </c>
      <c r="B10" s="67" t="s">
        <v>339</v>
      </c>
      <c r="C10" s="85" t="s">
        <v>143</v>
      </c>
      <c r="D10" s="86">
        <v>3999566.68</v>
      </c>
      <c r="E10" s="86">
        <v>3500000</v>
      </c>
      <c r="F10" s="86">
        <f>2834089.56+F11-212349.53</f>
        <v>3963153.3800000004</v>
      </c>
      <c r="G10" s="86">
        <v>3900000</v>
      </c>
      <c r="H10" s="87">
        <f>1970000+480000</f>
        <v>2450000</v>
      </c>
      <c r="I10" s="65" t="e">
        <f>H10/#REF!</f>
        <v>#REF!</v>
      </c>
      <c r="J10" s="207"/>
      <c r="L10" s="79"/>
    </row>
    <row r="11" spans="1:13" s="78" customFormat="1" ht="29.25" customHeight="1">
      <c r="A11" s="80"/>
      <c r="B11" s="67"/>
      <c r="C11" s="85" t="s">
        <v>144</v>
      </c>
      <c r="D11" s="86">
        <f>379475+13045+457627.5+52137.5+371264</f>
        <v>1273549</v>
      </c>
      <c r="E11" s="86">
        <v>1300000</v>
      </c>
      <c r="F11" s="86">
        <v>1341413.35</v>
      </c>
      <c r="G11" s="86">
        <v>1300000</v>
      </c>
      <c r="H11" s="87"/>
      <c r="I11" s="65"/>
      <c r="J11" s="88"/>
      <c r="M11" s="79"/>
    </row>
    <row r="12" spans="1:10" s="78" customFormat="1" ht="24" customHeight="1">
      <c r="A12" s="80"/>
      <c r="B12" s="67" t="s">
        <v>145</v>
      </c>
      <c r="C12" s="89" t="s">
        <v>351</v>
      </c>
      <c r="D12" s="90">
        <f>SUM(D13:D24)</f>
        <v>3022476.2100000004</v>
      </c>
      <c r="E12" s="90">
        <f>SUM(E13:E24)</f>
        <v>2727000</v>
      </c>
      <c r="F12" s="90">
        <f>SUM(F13:F24)</f>
        <v>3346526.9699999997</v>
      </c>
      <c r="G12" s="90">
        <f>SUM(G13:G24)</f>
        <v>2833000</v>
      </c>
      <c r="H12" s="91">
        <f>SUM(H13:H25)</f>
        <v>2753000</v>
      </c>
      <c r="I12" s="65"/>
      <c r="J12" s="92"/>
    </row>
    <row r="13" spans="1:10" s="78" customFormat="1" ht="24.75" customHeight="1" hidden="1">
      <c r="A13" s="80"/>
      <c r="B13" s="67" t="s">
        <v>163</v>
      </c>
      <c r="C13" s="74" t="s">
        <v>146</v>
      </c>
      <c r="D13" s="94"/>
      <c r="E13" s="94"/>
      <c r="F13" s="94"/>
      <c r="G13" s="94"/>
      <c r="H13" s="95"/>
      <c r="I13" s="65"/>
      <c r="J13" s="92"/>
    </row>
    <row r="14" spans="1:10" s="78" customFormat="1" ht="24.75" customHeight="1">
      <c r="A14" s="80"/>
      <c r="B14" s="67" t="s">
        <v>340</v>
      </c>
      <c r="C14" s="74" t="s">
        <v>147</v>
      </c>
      <c r="D14" s="75">
        <v>134882.42</v>
      </c>
      <c r="E14" s="75">
        <v>130000</v>
      </c>
      <c r="F14" s="75">
        <v>120040.58</v>
      </c>
      <c r="G14" s="94">
        <v>120000</v>
      </c>
      <c r="H14" s="95">
        <v>140000</v>
      </c>
      <c r="I14" s="65"/>
      <c r="J14" s="88"/>
    </row>
    <row r="15" spans="1:11" s="78" customFormat="1" ht="24.75" customHeight="1">
      <c r="A15" s="80"/>
      <c r="B15" s="67" t="s">
        <v>341</v>
      </c>
      <c r="C15" s="74" t="s">
        <v>148</v>
      </c>
      <c r="D15" s="75">
        <v>7308.4</v>
      </c>
      <c r="E15" s="75">
        <v>7000</v>
      </c>
      <c r="F15" s="75">
        <f>5514.5+5714</f>
        <v>11228.5</v>
      </c>
      <c r="G15" s="94">
        <v>8000</v>
      </c>
      <c r="H15" s="95">
        <v>18000</v>
      </c>
      <c r="I15" s="65"/>
      <c r="J15" s="92"/>
      <c r="K15" s="88"/>
    </row>
    <row r="16" spans="1:11" s="78" customFormat="1" ht="24.75" customHeight="1">
      <c r="A16" s="80"/>
      <c r="B16" s="67" t="s">
        <v>342</v>
      </c>
      <c r="C16" s="74" t="s">
        <v>149</v>
      </c>
      <c r="D16" s="75">
        <f>1066091.4+3898.37</f>
        <v>1069989.77</v>
      </c>
      <c r="E16" s="75">
        <v>900000</v>
      </c>
      <c r="F16" s="75">
        <v>1176031.01</v>
      </c>
      <c r="G16" s="94">
        <v>1100000</v>
      </c>
      <c r="H16" s="95">
        <v>880000</v>
      </c>
      <c r="I16" s="65"/>
      <c r="J16" s="92"/>
      <c r="K16" s="84"/>
    </row>
    <row r="17" spans="1:10" s="78" customFormat="1" ht="24.75" customHeight="1">
      <c r="A17" s="80"/>
      <c r="B17" s="67" t="s">
        <v>343</v>
      </c>
      <c r="C17" s="74" t="s">
        <v>150</v>
      </c>
      <c r="D17" s="75">
        <v>643916.07</v>
      </c>
      <c r="E17" s="75">
        <v>600000</v>
      </c>
      <c r="F17" s="75">
        <v>678552.98</v>
      </c>
      <c r="G17" s="94">
        <v>600000</v>
      </c>
      <c r="H17" s="95">
        <v>490000</v>
      </c>
      <c r="I17" s="65"/>
      <c r="J17" s="92"/>
    </row>
    <row r="18" spans="1:10" s="78" customFormat="1" ht="24.75" customHeight="1">
      <c r="A18" s="80"/>
      <c r="B18" s="67" t="s">
        <v>344</v>
      </c>
      <c r="C18" s="74" t="s">
        <v>151</v>
      </c>
      <c r="D18" s="75">
        <v>184059.7</v>
      </c>
      <c r="E18" s="75">
        <v>180000</v>
      </c>
      <c r="F18" s="75">
        <f>463.72+5925+36484.1+2377.66+46689+14000+7741+5700+5443.63+509.59+212349.53</f>
        <v>337683.23</v>
      </c>
      <c r="G18" s="94">
        <v>300000</v>
      </c>
      <c r="H18" s="95">
        <v>260000</v>
      </c>
      <c r="I18" s="65"/>
      <c r="J18" s="92"/>
    </row>
    <row r="19" spans="1:11" s="78" customFormat="1" ht="24.75" customHeight="1">
      <c r="A19" s="80"/>
      <c r="B19" s="67" t="s">
        <v>345</v>
      </c>
      <c r="C19" s="74" t="s">
        <v>152</v>
      </c>
      <c r="D19" s="75">
        <v>198244.98</v>
      </c>
      <c r="E19" s="75">
        <v>190000</v>
      </c>
      <c r="F19" s="75">
        <v>176490.56</v>
      </c>
      <c r="G19" s="94">
        <v>160000</v>
      </c>
      <c r="H19" s="95">
        <v>220000</v>
      </c>
      <c r="I19" s="65"/>
      <c r="J19" s="92"/>
      <c r="K19" s="84"/>
    </row>
    <row r="20" spans="1:11" s="78" customFormat="1" ht="24.75" customHeight="1">
      <c r="A20" s="80"/>
      <c r="B20" s="67" t="s">
        <v>346</v>
      </c>
      <c r="C20" s="74" t="s">
        <v>153</v>
      </c>
      <c r="D20" s="75">
        <v>270445.96</v>
      </c>
      <c r="E20" s="75">
        <v>240000</v>
      </c>
      <c r="F20" s="75">
        <v>194865.8</v>
      </c>
      <c r="G20" s="94">
        <v>190000</v>
      </c>
      <c r="H20" s="95">
        <v>270000</v>
      </c>
      <c r="I20" s="65"/>
      <c r="J20" s="92"/>
      <c r="K20" s="79"/>
    </row>
    <row r="21" spans="1:10" ht="24.75" customHeight="1">
      <c r="A21" s="73"/>
      <c r="B21" s="67" t="s">
        <v>347</v>
      </c>
      <c r="C21" s="74" t="s">
        <v>154</v>
      </c>
      <c r="D21" s="75">
        <v>42089.31</v>
      </c>
      <c r="E21" s="75">
        <v>40000</v>
      </c>
      <c r="F21" s="75">
        <f>51977.87</f>
        <v>51977.87</v>
      </c>
      <c r="G21" s="94">
        <v>40000</v>
      </c>
      <c r="H21" s="95">
        <v>30000</v>
      </c>
      <c r="I21" s="65" t="e">
        <f>H28/#REF!</f>
        <v>#REF!</v>
      </c>
      <c r="J21" s="96"/>
    </row>
    <row r="22" spans="1:10" ht="24.75" customHeight="1">
      <c r="A22" s="97"/>
      <c r="B22" s="67" t="s">
        <v>348</v>
      </c>
      <c r="C22" s="74" t="s">
        <v>155</v>
      </c>
      <c r="D22" s="75">
        <v>49949.63</v>
      </c>
      <c r="E22" s="75">
        <v>40000</v>
      </c>
      <c r="F22" s="75">
        <f>57005.28-34701.24</f>
        <v>22304.04</v>
      </c>
      <c r="G22" s="94">
        <v>20000</v>
      </c>
      <c r="H22" s="95">
        <v>80000</v>
      </c>
      <c r="I22" s="98" t="e">
        <f>H12/#REF!</f>
        <v>#REF!</v>
      </c>
      <c r="J22" s="99"/>
    </row>
    <row r="23" spans="1:10" ht="24.75" customHeight="1">
      <c r="A23" s="216"/>
      <c r="B23" s="67" t="s">
        <v>349</v>
      </c>
      <c r="C23" s="74" t="s">
        <v>157</v>
      </c>
      <c r="D23" s="75">
        <f>30535+26147.5</f>
        <v>56682.5</v>
      </c>
      <c r="E23" s="75">
        <v>50000</v>
      </c>
      <c r="F23" s="75">
        <v>48930</v>
      </c>
      <c r="G23" s="94">
        <v>45000</v>
      </c>
      <c r="H23" s="95"/>
      <c r="I23" s="98"/>
      <c r="J23" s="99"/>
    </row>
    <row r="24" spans="1:14" ht="24.75" customHeight="1">
      <c r="A24" s="100"/>
      <c r="B24" s="67" t="s">
        <v>350</v>
      </c>
      <c r="C24" s="74" t="s">
        <v>156</v>
      </c>
      <c r="D24" s="75">
        <f>128055.94+167671.98+9275.58+10527.62+6341.25+43035.1</f>
        <v>364907.47000000003</v>
      </c>
      <c r="E24" s="75">
        <v>350000</v>
      </c>
      <c r="F24" s="75">
        <f>104239.9+424182.5</f>
        <v>528422.4</v>
      </c>
      <c r="G24" s="94">
        <v>250000</v>
      </c>
      <c r="H24" s="95">
        <v>310000</v>
      </c>
      <c r="I24" s="101" t="e">
        <f>H13/#REF!</f>
        <v>#REF!</v>
      </c>
      <c r="J24" s="96"/>
      <c r="L24" s="103"/>
      <c r="M24" s="103"/>
      <c r="N24" s="127"/>
    </row>
    <row r="25" spans="1:10" ht="15" customHeight="1">
      <c r="A25" s="102"/>
      <c r="B25" s="39" t="s">
        <v>353</v>
      </c>
      <c r="C25" s="50"/>
      <c r="D25" s="50"/>
      <c r="E25" s="50"/>
      <c r="F25" s="50"/>
      <c r="G25" s="50"/>
      <c r="H25" s="95">
        <v>55000</v>
      </c>
      <c r="I25" s="101" t="e">
        <f>H14/#REF!</f>
        <v>#REF!</v>
      </c>
      <c r="J25" s="99"/>
    </row>
    <row r="26" spans="1:10" ht="24" customHeight="1" hidden="1">
      <c r="A26" s="102"/>
      <c r="B26" s="234" t="s">
        <v>158</v>
      </c>
      <c r="C26" s="234"/>
      <c r="D26" s="234"/>
      <c r="E26" s="234"/>
      <c r="F26" s="234"/>
      <c r="G26" s="234"/>
      <c r="H26" s="235"/>
      <c r="I26" s="101" t="e">
        <f>H15/#REF!</f>
        <v>#REF!</v>
      </c>
      <c r="J26" s="103"/>
    </row>
    <row r="27" spans="1:10" ht="27" customHeight="1" hidden="1">
      <c r="A27" s="102"/>
      <c r="B27" s="104" t="s">
        <v>125</v>
      </c>
      <c r="C27" s="104" t="s">
        <v>159</v>
      </c>
      <c r="D27" s="105"/>
      <c r="E27" s="105"/>
      <c r="F27" s="105"/>
      <c r="G27" s="105"/>
      <c r="H27" s="105">
        <f>SUM(H28:H34)</f>
        <v>26277840</v>
      </c>
      <c r="I27" s="101"/>
      <c r="J27" s="103"/>
    </row>
    <row r="28" spans="1:10" ht="21.75" customHeight="1" hidden="1">
      <c r="A28" s="102"/>
      <c r="B28" s="106" t="s">
        <v>136</v>
      </c>
      <c r="C28" s="107" t="s">
        <v>160</v>
      </c>
      <c r="D28" s="108"/>
      <c r="E28" s="108"/>
      <c r="F28" s="108"/>
      <c r="G28" s="108"/>
      <c r="H28" s="109">
        <v>6500000</v>
      </c>
      <c r="I28" s="101" t="e">
        <f>H22/#REF!</f>
        <v>#REF!</v>
      </c>
      <c r="J28" s="103"/>
    </row>
    <row r="29" spans="1:10" ht="20.25" customHeight="1" hidden="1">
      <c r="A29" s="102"/>
      <c r="B29" s="106" t="s">
        <v>138</v>
      </c>
      <c r="C29" s="107" t="s">
        <v>161</v>
      </c>
      <c r="D29" s="108"/>
      <c r="E29" s="108"/>
      <c r="F29" s="108"/>
      <c r="G29" s="108"/>
      <c r="H29" s="109">
        <v>350000</v>
      </c>
      <c r="I29" s="101" t="e">
        <f>H24/#REF!</f>
        <v>#REF!</v>
      </c>
      <c r="J29" s="103"/>
    </row>
    <row r="30" spans="1:10" ht="20.25" customHeight="1" hidden="1">
      <c r="A30" s="102"/>
      <c r="B30" s="106" t="s">
        <v>145</v>
      </c>
      <c r="C30" s="107" t="s">
        <v>162</v>
      </c>
      <c r="D30" s="108"/>
      <c r="E30" s="108"/>
      <c r="F30" s="108"/>
      <c r="G30" s="108"/>
      <c r="H30" s="109">
        <v>1357200</v>
      </c>
      <c r="I30" s="101"/>
      <c r="J30" s="103"/>
    </row>
    <row r="31" spans="1:10" ht="24" customHeight="1" hidden="1">
      <c r="A31" s="102"/>
      <c r="B31" s="106" t="s">
        <v>163</v>
      </c>
      <c r="C31" s="110" t="s">
        <v>23</v>
      </c>
      <c r="D31" s="108"/>
      <c r="E31" s="108"/>
      <c r="F31" s="108"/>
      <c r="G31" s="108"/>
      <c r="H31" s="108">
        <v>3884000</v>
      </c>
      <c r="I31" s="101" t="e">
        <f>H25/#REF!</f>
        <v>#REF!</v>
      </c>
      <c r="J31" s="103"/>
    </row>
    <row r="32" spans="1:10" ht="24" customHeight="1" hidden="1">
      <c r="A32" s="102"/>
      <c r="B32" s="106" t="s">
        <v>164</v>
      </c>
      <c r="C32" s="110" t="s">
        <v>165</v>
      </c>
      <c r="D32" s="108"/>
      <c r="E32" s="108"/>
      <c r="F32" s="108"/>
      <c r="G32" s="108"/>
      <c r="H32" s="108">
        <v>478400</v>
      </c>
      <c r="I32" s="101"/>
      <c r="J32" s="103"/>
    </row>
    <row r="33" spans="1:10" ht="24" customHeight="1" hidden="1">
      <c r="A33" s="102"/>
      <c r="B33" s="93" t="s">
        <v>166</v>
      </c>
      <c r="C33" s="111" t="s">
        <v>167</v>
      </c>
      <c r="D33" s="108"/>
      <c r="E33" s="108"/>
      <c r="F33" s="108"/>
      <c r="G33" s="108"/>
      <c r="H33" s="108">
        <v>2611000</v>
      </c>
      <c r="I33" s="101"/>
      <c r="J33" s="103"/>
    </row>
    <row r="34" spans="1:10" ht="21" customHeight="1" hidden="1">
      <c r="A34" s="102"/>
      <c r="B34" s="93" t="s">
        <v>168</v>
      </c>
      <c r="C34" s="111" t="s">
        <v>169</v>
      </c>
      <c r="D34" s="108"/>
      <c r="E34" s="108"/>
      <c r="F34" s="108"/>
      <c r="G34" s="108"/>
      <c r="H34" s="108">
        <v>11097240</v>
      </c>
      <c r="I34" s="101"/>
      <c r="J34" s="103"/>
    </row>
    <row r="35" spans="2:10" ht="17.25" customHeight="1" hidden="1">
      <c r="B35" s="93" t="s">
        <v>170</v>
      </c>
      <c r="C35" s="111" t="s">
        <v>171</v>
      </c>
      <c r="D35" s="112"/>
      <c r="E35" s="112"/>
      <c r="F35" s="112"/>
      <c r="G35" s="112"/>
      <c r="H35" s="112" t="e">
        <f>#REF!</f>
        <v>#REF!</v>
      </c>
      <c r="I35" s="113" t="e">
        <f>H35/#REF!</f>
        <v>#REF!</v>
      </c>
      <c r="J35" s="103"/>
    </row>
    <row r="36" spans="2:10" ht="17.25" customHeight="1" hidden="1">
      <c r="B36" s="114" t="s">
        <v>172</v>
      </c>
      <c r="C36" s="115" t="s">
        <v>173</v>
      </c>
      <c r="D36" s="116"/>
      <c r="E36" s="116"/>
      <c r="F36" s="116"/>
      <c r="G36" s="116"/>
      <c r="H36" s="116" t="e">
        <f>#REF!</f>
        <v>#REF!</v>
      </c>
      <c r="I36" s="113" t="e">
        <f>H36/#REF!</f>
        <v>#REF!</v>
      </c>
      <c r="J36" s="103"/>
    </row>
    <row r="37" spans="2:10" ht="21.75" customHeight="1" hidden="1">
      <c r="B37" s="117"/>
      <c r="C37" s="118" t="s">
        <v>174</v>
      </c>
      <c r="D37" s="119"/>
      <c r="E37" s="119"/>
      <c r="F37" s="119"/>
      <c r="G37" s="119"/>
      <c r="H37" s="119">
        <f>H27+H5</f>
        <v>152288779.6666667</v>
      </c>
      <c r="J37" s="103"/>
    </row>
    <row r="38" ht="12.75" hidden="1">
      <c r="J38" s="103"/>
    </row>
    <row r="39" spans="2:12" ht="12.75">
      <c r="B39" s="50"/>
      <c r="F39" s="126"/>
      <c r="G39" s="126"/>
      <c r="J39" s="103"/>
      <c r="K39" s="71"/>
      <c r="L39" s="71"/>
    </row>
    <row r="40" spans="4:11" ht="12.75">
      <c r="D40" s="121" t="s">
        <v>175</v>
      </c>
      <c r="E40" s="121"/>
      <c r="F40" s="121"/>
      <c r="J40" s="103"/>
      <c r="K40" s="71"/>
    </row>
    <row r="41" spans="4:12" ht="12.75">
      <c r="D41" s="122"/>
      <c r="E41" s="122"/>
      <c r="F41" s="122"/>
      <c r="G41" s="123"/>
      <c r="J41" s="103"/>
      <c r="K41" s="71"/>
      <c r="L41" s="71"/>
    </row>
    <row r="42" spans="3:11" ht="12.75">
      <c r="C42" s="124"/>
      <c r="D42" s="125">
        <v>3988042.56</v>
      </c>
      <c r="E42" s="125"/>
      <c r="F42" s="125"/>
      <c r="H42" s="126"/>
      <c r="J42" s="127"/>
      <c r="K42" s="71"/>
    </row>
    <row r="43" spans="4:10" ht="12.75">
      <c r="D43" s="121">
        <v>421</v>
      </c>
      <c r="E43" s="121"/>
      <c r="F43" s="128"/>
      <c r="H43" s="123"/>
      <c r="J43" s="127"/>
    </row>
    <row r="44" spans="3:10" ht="12.75">
      <c r="C44" s="124"/>
      <c r="D44" s="129">
        <v>1448702.54</v>
      </c>
      <c r="E44" s="129"/>
      <c r="F44" s="129"/>
      <c r="G44" s="130"/>
      <c r="J44" s="103"/>
    </row>
    <row r="45" spans="4:10" ht="12.75">
      <c r="D45" s="129">
        <v>3424524.48</v>
      </c>
      <c r="E45" s="129"/>
      <c r="F45" s="129"/>
      <c r="G45" s="130"/>
      <c r="J45" s="103"/>
    </row>
    <row r="46" spans="4:7" ht="12.75">
      <c r="D46" s="129">
        <v>552341.56</v>
      </c>
      <c r="E46" s="129"/>
      <c r="F46" s="129"/>
      <c r="G46" s="130"/>
    </row>
    <row r="47" spans="4:7" ht="12.75">
      <c r="D47" s="129">
        <v>4909390.53</v>
      </c>
      <c r="E47" s="129"/>
      <c r="F47" s="219"/>
      <c r="G47" s="130"/>
    </row>
    <row r="48" spans="4:7" ht="12.75">
      <c r="D48" s="129">
        <v>1962.89</v>
      </c>
      <c r="E48" s="129"/>
      <c r="F48" s="129"/>
      <c r="G48" s="130"/>
    </row>
    <row r="49" spans="4:7" ht="12.75">
      <c r="D49" s="129">
        <v>420.65</v>
      </c>
      <c r="E49" s="129"/>
      <c r="F49" s="129"/>
      <c r="G49" s="130"/>
    </row>
    <row r="50" spans="4:11" ht="12.75">
      <c r="D50" s="129">
        <v>4752108.55</v>
      </c>
      <c r="E50" s="129"/>
      <c r="F50" s="129"/>
      <c r="G50" s="130"/>
      <c r="K50" s="131"/>
    </row>
    <row r="51" spans="4:11" ht="12.75">
      <c r="D51" s="129">
        <v>500</v>
      </c>
      <c r="E51" s="129"/>
      <c r="F51" s="129"/>
      <c r="G51" s="130"/>
      <c r="K51" s="131"/>
    </row>
    <row r="52" spans="4:8" ht="12.75">
      <c r="D52" s="129">
        <v>854931.38</v>
      </c>
      <c r="E52" s="129"/>
      <c r="F52" s="129"/>
      <c r="G52" s="130"/>
      <c r="H52" s="130"/>
    </row>
    <row r="53" spans="4:10" ht="12.75">
      <c r="D53" s="130">
        <v>99500.33</v>
      </c>
      <c r="E53" s="130"/>
      <c r="F53" s="130"/>
      <c r="G53" s="130"/>
      <c r="J53" s="131"/>
    </row>
    <row r="54" spans="4:7" ht="12.75">
      <c r="D54" s="130">
        <v>21</v>
      </c>
      <c r="E54" s="130"/>
      <c r="F54" s="130"/>
      <c r="G54" s="130"/>
    </row>
    <row r="55" spans="4:7" ht="12.75">
      <c r="D55" s="130">
        <v>5461225.4</v>
      </c>
      <c r="E55" s="130"/>
      <c r="F55" s="130"/>
      <c r="G55" s="130"/>
    </row>
    <row r="56" spans="4:8" ht="12.75">
      <c r="D56" s="130">
        <v>414165.73</v>
      </c>
      <c r="E56" s="130"/>
      <c r="F56" s="130"/>
      <c r="G56" s="130"/>
      <c r="H56" s="130"/>
    </row>
    <row r="57" spans="4:7" ht="12.75">
      <c r="D57" s="130">
        <v>6992232.57</v>
      </c>
      <c r="E57" s="130"/>
      <c r="F57" s="130"/>
      <c r="G57" s="130"/>
    </row>
    <row r="58" spans="4:7" ht="12.75">
      <c r="D58" s="130">
        <v>360</v>
      </c>
      <c r="E58" s="130"/>
      <c r="F58" s="130"/>
      <c r="G58" s="130"/>
    </row>
    <row r="59" spans="4:7" ht="12.75">
      <c r="D59" s="130">
        <v>13916.68</v>
      </c>
      <c r="E59" s="130"/>
      <c r="F59" s="130"/>
      <c r="G59" s="130"/>
    </row>
    <row r="60" spans="4:7" ht="12.75">
      <c r="D60" s="130">
        <v>571065.17</v>
      </c>
      <c r="E60" s="130"/>
      <c r="F60" s="130"/>
      <c r="G60" s="130"/>
    </row>
    <row r="61" spans="4:7" ht="12.75">
      <c r="D61" s="130">
        <f>SUM(D42:D60)</f>
        <v>33485833.02</v>
      </c>
      <c r="E61" s="130"/>
      <c r="F61" s="130"/>
      <c r="G61" s="130"/>
    </row>
    <row r="62" spans="4:7" ht="12.75">
      <c r="D62" s="130"/>
      <c r="E62" s="130"/>
      <c r="F62" s="130"/>
      <c r="G62" s="130"/>
    </row>
    <row r="63" spans="4:7" ht="12.75">
      <c r="D63" s="130"/>
      <c r="E63" s="130"/>
      <c r="F63" s="130"/>
      <c r="G63" s="130"/>
    </row>
    <row r="64" spans="4:7" ht="12.75">
      <c r="D64" s="130"/>
      <c r="E64" s="130"/>
      <c r="F64" s="130"/>
      <c r="G64" s="130"/>
    </row>
    <row r="65" spans="4:7" ht="12.75">
      <c r="D65" s="130"/>
      <c r="E65" s="130"/>
      <c r="F65" s="130"/>
      <c r="G65" s="130"/>
    </row>
    <row r="66" spans="4:7" ht="12.75">
      <c r="D66" s="130"/>
      <c r="E66" s="130"/>
      <c r="F66" s="130"/>
      <c r="G66" s="130"/>
    </row>
    <row r="67" spans="4:8" ht="12.75">
      <c r="D67" s="130"/>
      <c r="E67" s="130"/>
      <c r="F67" s="130"/>
      <c r="G67" s="130"/>
      <c r="H67" s="130"/>
    </row>
  </sheetData>
  <sheetProtection/>
  <mergeCells count="3">
    <mergeCell ref="B1:H1"/>
    <mergeCell ref="B4:H4"/>
    <mergeCell ref="B26:H26"/>
  </mergeCells>
  <printOptions/>
  <pageMargins left="0.5905511811023623" right="0.07874015748031496" top="0.4724409448818898" bottom="0.2362204724409449" header="0.31496062992125984" footer="0.5118110236220472"/>
  <pageSetup fitToHeight="1" fitToWidth="1" horizontalDpi="600" verticalDpi="6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48">
      <selection activeCell="H76" sqref="H76"/>
    </sheetView>
  </sheetViews>
  <sheetFormatPr defaultColWidth="9.140625" defaultRowHeight="12.75"/>
  <cols>
    <col min="1" max="1" width="31.00390625" style="50" customWidth="1"/>
    <col min="2" max="3" width="13.28125" style="50" customWidth="1"/>
    <col min="4" max="4" width="11.8515625" style="50" customWidth="1"/>
    <col min="5" max="5" width="13.140625" style="50" customWidth="1"/>
    <col min="6" max="6" width="16.140625" style="50" customWidth="1"/>
    <col min="7" max="7" width="15.28125" style="50" customWidth="1"/>
    <col min="8" max="8" width="14.7109375" style="50" customWidth="1"/>
    <col min="9" max="9" width="10.57421875" style="50" customWidth="1"/>
    <col min="10" max="10" width="14.421875" style="50" customWidth="1"/>
    <col min="11" max="11" width="11.421875" style="50" customWidth="1"/>
    <col min="12" max="12" width="7.8515625" style="50" customWidth="1"/>
    <col min="13" max="13" width="7.28125" style="50" customWidth="1"/>
    <col min="14" max="16384" width="9.140625" style="50" customWidth="1"/>
  </cols>
  <sheetData>
    <row r="1" spans="1:8" ht="15.75">
      <c r="A1" s="236" t="s">
        <v>334</v>
      </c>
      <c r="B1" s="236"/>
      <c r="C1" s="236"/>
      <c r="D1" s="236"/>
      <c r="E1" s="236"/>
      <c r="F1" s="236"/>
      <c r="G1" s="236"/>
      <c r="H1" s="236"/>
    </row>
    <row r="2" spans="1:8" ht="13.5" customHeight="1">
      <c r="A2" s="132"/>
      <c r="B2" s="132"/>
      <c r="C2" s="132"/>
      <c r="D2" s="132"/>
      <c r="E2" s="132"/>
      <c r="F2" s="132"/>
      <c r="G2" s="132"/>
      <c r="H2" s="132"/>
    </row>
    <row r="3" spans="1:8" ht="23.25" customHeight="1">
      <c r="A3" s="237" t="s">
        <v>176</v>
      </c>
      <c r="B3" s="237"/>
      <c r="C3" s="237"/>
      <c r="D3" s="237"/>
      <c r="E3" s="237"/>
      <c r="F3" s="237"/>
      <c r="G3" s="237"/>
      <c r="H3" s="237"/>
    </row>
    <row r="4" spans="1:8" ht="14.25" customHeight="1">
      <c r="A4" s="238" t="s">
        <v>177</v>
      </c>
      <c r="B4" s="238"/>
      <c r="C4" s="238"/>
      <c r="D4" s="238"/>
      <c r="E4" s="238"/>
      <c r="F4" s="238"/>
      <c r="G4" s="238"/>
      <c r="H4" s="238"/>
    </row>
    <row r="5" spans="1:8" ht="30.75" customHeight="1">
      <c r="A5" s="133" t="s">
        <v>178</v>
      </c>
      <c r="B5" s="134" t="s">
        <v>179</v>
      </c>
      <c r="C5" s="134" t="s">
        <v>180</v>
      </c>
      <c r="D5" s="134" t="s">
        <v>181</v>
      </c>
      <c r="E5" s="134" t="s">
        <v>182</v>
      </c>
      <c r="F5" s="134" t="s">
        <v>183</v>
      </c>
      <c r="G5" s="135" t="s">
        <v>184</v>
      </c>
      <c r="H5" s="135" t="s">
        <v>185</v>
      </c>
    </row>
    <row r="6" spans="1:8" ht="25.5">
      <c r="A6" s="136" t="s">
        <v>265</v>
      </c>
      <c r="B6" s="137">
        <f>3672+6-116</f>
        <v>3562</v>
      </c>
      <c r="C6" s="137"/>
      <c r="D6" s="137">
        <f>6+3083-85</f>
        <v>3004</v>
      </c>
      <c r="E6" s="137"/>
      <c r="F6" s="137">
        <f>B6+D6</f>
        <v>6566</v>
      </c>
      <c r="G6" s="138"/>
      <c r="H6" s="139"/>
    </row>
    <row r="7" spans="1:8" ht="15.75" customHeight="1" hidden="1">
      <c r="A7" s="140" t="s">
        <v>187</v>
      </c>
      <c r="B7" s="141"/>
      <c r="C7" s="141"/>
      <c r="D7" s="141"/>
      <c r="E7" s="141"/>
      <c r="F7" s="141"/>
      <c r="G7" s="139"/>
      <c r="H7" s="139"/>
    </row>
    <row r="8" spans="1:10" ht="18.75" customHeight="1">
      <c r="A8" s="140" t="s">
        <v>188</v>
      </c>
      <c r="B8" s="141">
        <v>1445</v>
      </c>
      <c r="C8" s="141"/>
      <c r="D8" s="141">
        <v>1439</v>
      </c>
      <c r="E8" s="141"/>
      <c r="F8" s="141">
        <f>B8+D8</f>
        <v>2884</v>
      </c>
      <c r="G8" s="139"/>
      <c r="H8" s="139"/>
      <c r="J8" s="204"/>
    </row>
    <row r="9" spans="1:10" ht="25.5" hidden="1">
      <c r="A9" s="140" t="s">
        <v>189</v>
      </c>
      <c r="B9" s="142"/>
      <c r="C9" s="139"/>
      <c r="D9" s="142"/>
      <c r="E9" s="139"/>
      <c r="F9" s="142"/>
      <c r="G9" s="139"/>
      <c r="H9" s="139"/>
      <c r="J9" s="204"/>
    </row>
    <row r="10" spans="1:10" ht="38.25">
      <c r="A10" s="143" t="s">
        <v>190</v>
      </c>
      <c r="B10" s="137">
        <f>B6-B7-B9</f>
        <v>3562</v>
      </c>
      <c r="C10" s="144">
        <f>B10*2000</f>
        <v>7124000</v>
      </c>
      <c r="D10" s="137">
        <f>D6-D7-D9</f>
        <v>3004</v>
      </c>
      <c r="E10" s="144">
        <f>D10*2300</f>
        <v>6909200</v>
      </c>
      <c r="F10" s="137">
        <f>B10+D10</f>
        <v>6566</v>
      </c>
      <c r="G10" s="144">
        <f>C10+E10</f>
        <v>14033200</v>
      </c>
      <c r="H10" s="145">
        <f>(G10/6)*2</f>
        <v>4677733.333333333</v>
      </c>
      <c r="J10" s="204"/>
    </row>
    <row r="11" spans="1:10" ht="23.25" customHeight="1">
      <c r="A11" s="147" t="s">
        <v>191</v>
      </c>
      <c r="B11" s="141">
        <v>270</v>
      </c>
      <c r="C11" s="144"/>
      <c r="D11" s="141">
        <v>50</v>
      </c>
      <c r="E11" s="141"/>
      <c r="F11" s="137"/>
      <c r="G11" s="144"/>
      <c r="H11" s="145"/>
      <c r="J11" s="131"/>
    </row>
    <row r="12" spans="1:8" ht="38.25">
      <c r="A12" s="143" t="s">
        <v>192</v>
      </c>
      <c r="B12" s="137">
        <f>B10-B11</f>
        <v>3292</v>
      </c>
      <c r="C12" s="144">
        <f>B12*2000</f>
        <v>6584000</v>
      </c>
      <c r="D12" s="137">
        <f>D10-D11</f>
        <v>2954</v>
      </c>
      <c r="E12" s="144">
        <f>D12*2300</f>
        <v>6794200</v>
      </c>
      <c r="F12" s="137">
        <f>B12+D12</f>
        <v>6246</v>
      </c>
      <c r="G12" s="144">
        <f>C12+E12</f>
        <v>13378200</v>
      </c>
      <c r="H12" s="145">
        <f>G12-7</f>
        <v>13378193</v>
      </c>
    </row>
    <row r="13" spans="1:8" ht="29.25" customHeight="1">
      <c r="A13" s="147" t="s">
        <v>193</v>
      </c>
      <c r="B13" s="141">
        <f>1332+4</f>
        <v>1336</v>
      </c>
      <c r="C13" s="148"/>
      <c r="D13" s="141">
        <f>1565+4</f>
        <v>1569</v>
      </c>
      <c r="E13" s="148"/>
      <c r="F13" s="141">
        <f>B13+D13</f>
        <v>2905</v>
      </c>
      <c r="G13" s="148"/>
      <c r="H13" s="149"/>
    </row>
    <row r="14" spans="1:10" ht="24.75" customHeight="1">
      <c r="A14" s="147" t="s">
        <v>194</v>
      </c>
      <c r="B14" s="141">
        <f>B8-255</f>
        <v>1190</v>
      </c>
      <c r="C14" s="148"/>
      <c r="D14" s="141">
        <f>D8-150</f>
        <v>1289</v>
      </c>
      <c r="E14" s="144"/>
      <c r="F14" s="141">
        <f>B14+D14</f>
        <v>2479</v>
      </c>
      <c r="G14" s="144"/>
      <c r="H14" s="145"/>
      <c r="J14" s="146"/>
    </row>
    <row r="15" spans="1:8" ht="30" customHeight="1">
      <c r="A15" s="143" t="s">
        <v>195</v>
      </c>
      <c r="B15" s="137">
        <f>B12-B13+B14</f>
        <v>3146</v>
      </c>
      <c r="C15" s="144">
        <f>B15*2000</f>
        <v>6292000</v>
      </c>
      <c r="D15" s="137">
        <f>D12-D13+D14</f>
        <v>2674</v>
      </c>
      <c r="E15" s="144">
        <f>D15*2300</f>
        <v>6150200</v>
      </c>
      <c r="F15" s="137">
        <f>B15+D15</f>
        <v>5820</v>
      </c>
      <c r="G15" s="144">
        <f>C15+E15</f>
        <v>12442200</v>
      </c>
      <c r="H15" s="145">
        <f>(G15/6)*4</f>
        <v>8294800</v>
      </c>
    </row>
    <row r="16" spans="1:10" ht="21.75" customHeight="1">
      <c r="A16" s="239" t="s">
        <v>196</v>
      </c>
      <c r="B16" s="240"/>
      <c r="C16" s="240"/>
      <c r="D16" s="240"/>
      <c r="E16" s="240"/>
      <c r="F16" s="240"/>
      <c r="G16" s="240"/>
      <c r="H16" s="150">
        <f>H10+H12+H15</f>
        <v>26350726.333333332</v>
      </c>
      <c r="J16" s="146"/>
    </row>
    <row r="17" spans="1:8" ht="21.75" customHeight="1">
      <c r="A17" s="241" t="s">
        <v>197</v>
      </c>
      <c r="B17" s="242"/>
      <c r="C17" s="242"/>
      <c r="D17" s="242"/>
      <c r="E17" s="242"/>
      <c r="F17" s="242"/>
      <c r="G17" s="242"/>
      <c r="H17" s="242"/>
    </row>
    <row r="18" spans="1:8" ht="31.5" customHeight="1">
      <c r="A18" s="133" t="s">
        <v>178</v>
      </c>
      <c r="B18" s="134" t="s">
        <v>179</v>
      </c>
      <c r="C18" s="134" t="s">
        <v>180</v>
      </c>
      <c r="D18" s="134" t="s">
        <v>181</v>
      </c>
      <c r="E18" s="134" t="s">
        <v>182</v>
      </c>
      <c r="F18" s="134" t="s">
        <v>183</v>
      </c>
      <c r="G18" s="135" t="s">
        <v>184</v>
      </c>
      <c r="H18" s="135" t="s">
        <v>185</v>
      </c>
    </row>
    <row r="19" spans="1:10" ht="26.25">
      <c r="A19" s="136" t="s">
        <v>186</v>
      </c>
      <c r="B19" s="137">
        <f>96+167+34+37</f>
        <v>334</v>
      </c>
      <c r="C19" s="144"/>
      <c r="D19" s="137">
        <v>106</v>
      </c>
      <c r="E19" s="144"/>
      <c r="F19" s="137">
        <f aca="true" t="shared" si="0" ref="F19:F27">B19+D19</f>
        <v>440</v>
      </c>
      <c r="G19" s="151"/>
      <c r="H19" s="151"/>
      <c r="J19" s="131"/>
    </row>
    <row r="20" spans="1:8" ht="15" hidden="1">
      <c r="A20" s="140" t="s">
        <v>187</v>
      </c>
      <c r="B20" s="141"/>
      <c r="C20" s="148"/>
      <c r="D20" s="141"/>
      <c r="E20" s="148"/>
      <c r="F20" s="141">
        <f t="shared" si="0"/>
        <v>0</v>
      </c>
      <c r="G20" s="139"/>
      <c r="H20" s="151"/>
    </row>
    <row r="21" spans="1:8" ht="15" customHeight="1">
      <c r="A21" s="140" t="s">
        <v>188</v>
      </c>
      <c r="B21" s="141">
        <v>130</v>
      </c>
      <c r="C21" s="148"/>
      <c r="D21" s="141">
        <v>56</v>
      </c>
      <c r="E21" s="148"/>
      <c r="F21" s="141">
        <f t="shared" si="0"/>
        <v>186</v>
      </c>
      <c r="G21" s="139"/>
      <c r="H21" s="151"/>
    </row>
    <row r="22" spans="1:8" ht="26.25" customHeight="1">
      <c r="A22" s="143" t="s">
        <v>190</v>
      </c>
      <c r="B22" s="137">
        <f>B19</f>
        <v>334</v>
      </c>
      <c r="C22" s="144">
        <f>(263*2500)+(34*8400)+(37*8000)</f>
        <v>1239100</v>
      </c>
      <c r="D22" s="137">
        <f>D19</f>
        <v>106</v>
      </c>
      <c r="E22" s="144">
        <f>(106*2500)</f>
        <v>265000</v>
      </c>
      <c r="F22" s="137">
        <f t="shared" si="0"/>
        <v>440</v>
      </c>
      <c r="G22" s="144">
        <f>C22+E22</f>
        <v>1504100</v>
      </c>
      <c r="H22" s="145">
        <f>(G22/6)*2</f>
        <v>501366.6666666667</v>
      </c>
    </row>
    <row r="23" spans="1:8" ht="26.25" hidden="1">
      <c r="A23" s="143" t="s">
        <v>198</v>
      </c>
      <c r="B23" s="141"/>
      <c r="C23" s="144">
        <f>(263*2500)+(34*8400)+(37*8000)</f>
        <v>1239100</v>
      </c>
      <c r="D23" s="141"/>
      <c r="E23" s="144">
        <f>(106*2500)</f>
        <v>265000</v>
      </c>
      <c r="F23" s="141">
        <f t="shared" si="0"/>
        <v>0</v>
      </c>
      <c r="G23" s="141"/>
      <c r="H23" s="149"/>
    </row>
    <row r="24" spans="1:10" ht="26.25">
      <c r="A24" s="143" t="s">
        <v>192</v>
      </c>
      <c r="B24" s="137">
        <v>320</v>
      </c>
      <c r="C24" s="144">
        <f>(257*2500)+(30*8400)+(33*8000)</f>
        <v>1158500</v>
      </c>
      <c r="D24" s="137">
        <v>100</v>
      </c>
      <c r="E24" s="144">
        <f>(100*2500)</f>
        <v>250000</v>
      </c>
      <c r="F24" s="137">
        <f t="shared" si="0"/>
        <v>420</v>
      </c>
      <c r="G24" s="144">
        <f>C24+E24</f>
        <v>1408500</v>
      </c>
      <c r="H24" s="145">
        <f>G24</f>
        <v>1408500</v>
      </c>
      <c r="J24" s="146"/>
    </row>
    <row r="25" spans="1:8" ht="25.5" hidden="1">
      <c r="A25" s="147" t="s">
        <v>193</v>
      </c>
      <c r="B25" s="141"/>
      <c r="C25" s="148"/>
      <c r="D25" s="141"/>
      <c r="E25" s="148"/>
      <c r="F25" s="141"/>
      <c r="G25" s="141"/>
      <c r="H25" s="149"/>
    </row>
    <row r="26" spans="1:9" ht="25.5" hidden="1">
      <c r="A26" s="147" t="s">
        <v>194</v>
      </c>
      <c r="B26" s="141"/>
      <c r="C26" s="148"/>
      <c r="D26" s="141"/>
      <c r="E26" s="148"/>
      <c r="F26" s="141"/>
      <c r="G26" s="141"/>
      <c r="H26" s="149"/>
      <c r="I26" s="131"/>
    </row>
    <row r="27" spans="1:10" ht="26.25">
      <c r="A27" s="143" t="s">
        <v>195</v>
      </c>
      <c r="B27" s="137">
        <f>90+200+45-1</f>
        <v>334</v>
      </c>
      <c r="C27" s="144">
        <f>(259*2500)+(40*6000)+(35*6000)</f>
        <v>1097500</v>
      </c>
      <c r="D27" s="137">
        <v>106</v>
      </c>
      <c r="E27" s="144">
        <f>(106*2500)</f>
        <v>265000</v>
      </c>
      <c r="F27" s="137">
        <f t="shared" si="0"/>
        <v>440</v>
      </c>
      <c r="G27" s="144">
        <f>C27+E27</f>
        <v>1362500</v>
      </c>
      <c r="H27" s="145">
        <f>(G27/6)*4</f>
        <v>908333.3333333334</v>
      </c>
      <c r="I27" s="131"/>
      <c r="J27" s="131"/>
    </row>
    <row r="28" spans="1:10" ht="26.25" customHeight="1">
      <c r="A28" s="239" t="s">
        <v>196</v>
      </c>
      <c r="B28" s="240"/>
      <c r="C28" s="240"/>
      <c r="D28" s="240"/>
      <c r="E28" s="240"/>
      <c r="F28" s="240"/>
      <c r="G28" s="240"/>
      <c r="H28" s="150">
        <f>H22+H24+H27</f>
        <v>2818200</v>
      </c>
      <c r="J28" s="146"/>
    </row>
    <row r="29" spans="1:10" ht="21.75" customHeight="1">
      <c r="A29" s="241" t="s">
        <v>199</v>
      </c>
      <c r="B29" s="242"/>
      <c r="C29" s="242"/>
      <c r="D29" s="242"/>
      <c r="E29" s="242"/>
      <c r="F29" s="242"/>
      <c r="G29" s="242"/>
      <c r="H29" s="242"/>
      <c r="J29" s="146"/>
    </row>
    <row r="30" spans="1:8" ht="27.75" customHeight="1">
      <c r="A30" s="133" t="s">
        <v>178</v>
      </c>
      <c r="B30" s="152" t="s">
        <v>179</v>
      </c>
      <c r="C30" s="152" t="s">
        <v>200</v>
      </c>
      <c r="D30" s="152" t="s">
        <v>181</v>
      </c>
      <c r="E30" s="152" t="s">
        <v>182</v>
      </c>
      <c r="F30" s="152" t="s">
        <v>183</v>
      </c>
      <c r="G30" s="136" t="s">
        <v>184</v>
      </c>
      <c r="H30" s="135" t="s">
        <v>185</v>
      </c>
    </row>
    <row r="31" spans="1:8" ht="28.5" customHeight="1" hidden="1">
      <c r="A31" s="136" t="s">
        <v>201</v>
      </c>
      <c r="B31" s="153">
        <v>185</v>
      </c>
      <c r="C31" s="151"/>
      <c r="D31" s="153">
        <v>76</v>
      </c>
      <c r="E31" s="151"/>
      <c r="F31" s="153">
        <f>B31+D31</f>
        <v>261</v>
      </c>
      <c r="G31" s="151"/>
      <c r="H31" s="151"/>
    </row>
    <row r="32" spans="1:8" ht="26.25" customHeight="1">
      <c r="A32" s="143" t="s">
        <v>190</v>
      </c>
      <c r="B32" s="137">
        <v>218</v>
      </c>
      <c r="C32" s="144">
        <f>B32*4500</f>
        <v>981000</v>
      </c>
      <c r="D32" s="137">
        <v>89</v>
      </c>
      <c r="E32" s="144">
        <f>D32*4500</f>
        <v>400500</v>
      </c>
      <c r="F32" s="137">
        <f>B32+D32</f>
        <v>307</v>
      </c>
      <c r="G32" s="144">
        <f>C32+E32</f>
        <v>1381500</v>
      </c>
      <c r="H32" s="145">
        <f>(G32/6)*2</f>
        <v>460500</v>
      </c>
    </row>
    <row r="33" spans="1:8" ht="28.5" customHeight="1">
      <c r="A33" s="143" t="s">
        <v>192</v>
      </c>
      <c r="B33" s="137">
        <v>200</v>
      </c>
      <c r="C33" s="144">
        <f>B33*4500</f>
        <v>900000</v>
      </c>
      <c r="D33" s="137">
        <v>80</v>
      </c>
      <c r="E33" s="144">
        <f>D33*4500</f>
        <v>360000</v>
      </c>
      <c r="F33" s="137">
        <f>B33+D33</f>
        <v>280</v>
      </c>
      <c r="G33" s="144">
        <f>C33+E33</f>
        <v>1260000</v>
      </c>
      <c r="H33" s="145">
        <f>G33</f>
        <v>1260000</v>
      </c>
    </row>
    <row r="34" spans="1:8" ht="27" customHeight="1">
      <c r="A34" s="143" t="s">
        <v>195</v>
      </c>
      <c r="B34" s="137">
        <v>200</v>
      </c>
      <c r="C34" s="144">
        <f>B34*4000</f>
        <v>800000</v>
      </c>
      <c r="D34" s="137">
        <v>80</v>
      </c>
      <c r="E34" s="144">
        <f>D34*4000</f>
        <v>320000</v>
      </c>
      <c r="F34" s="137">
        <f>B34+D34</f>
        <v>280</v>
      </c>
      <c r="G34" s="144">
        <f>C34+E34</f>
        <v>1120000</v>
      </c>
      <c r="H34" s="145">
        <f>(G34/6)*4</f>
        <v>746666.6666666666</v>
      </c>
    </row>
    <row r="35" spans="1:11" ht="26.25" customHeight="1">
      <c r="A35" s="239" t="s">
        <v>196</v>
      </c>
      <c r="B35" s="240"/>
      <c r="C35" s="240"/>
      <c r="D35" s="240"/>
      <c r="E35" s="240"/>
      <c r="F35" s="240"/>
      <c r="G35" s="240"/>
      <c r="H35" s="150">
        <f>H32+H33+H34</f>
        <v>2467166.6666666665</v>
      </c>
      <c r="J35" s="146"/>
      <c r="K35" s="131"/>
    </row>
    <row r="36" spans="1:11" ht="27" customHeight="1">
      <c r="A36" s="241" t="s">
        <v>202</v>
      </c>
      <c r="B36" s="242"/>
      <c r="C36" s="242"/>
      <c r="D36" s="242"/>
      <c r="E36" s="242"/>
      <c r="F36" s="242"/>
      <c r="G36" s="242"/>
      <c r="H36" s="242"/>
      <c r="K36" s="131"/>
    </row>
    <row r="37" spans="1:8" ht="30.75" customHeight="1">
      <c r="A37" s="133" t="s">
        <v>178</v>
      </c>
      <c r="B37" s="152" t="s">
        <v>203</v>
      </c>
      <c r="C37" s="152" t="s">
        <v>204</v>
      </c>
      <c r="D37" s="152"/>
      <c r="E37" s="152"/>
      <c r="F37" s="152"/>
      <c r="G37" s="136" t="s">
        <v>184</v>
      </c>
      <c r="H37" s="135" t="s">
        <v>185</v>
      </c>
    </row>
    <row r="38" spans="1:14" ht="25.5" customHeight="1">
      <c r="A38" s="136" t="s">
        <v>186</v>
      </c>
      <c r="B38" s="137">
        <v>24</v>
      </c>
      <c r="C38" s="144"/>
      <c r="D38" s="137"/>
      <c r="E38" s="144"/>
      <c r="F38" s="137"/>
      <c r="G38" s="151"/>
      <c r="H38" s="151"/>
      <c r="I38" s="154"/>
      <c r="J38" s="155"/>
      <c r="K38" s="155"/>
      <c r="L38" s="155"/>
      <c r="M38" s="155"/>
      <c r="N38" s="155"/>
    </row>
    <row r="39" spans="1:14" ht="15">
      <c r="A39" s="140" t="s">
        <v>188</v>
      </c>
      <c r="B39" s="141">
        <v>0</v>
      </c>
      <c r="C39" s="148"/>
      <c r="D39" s="141"/>
      <c r="E39" s="148"/>
      <c r="F39" s="141"/>
      <c r="G39" s="139"/>
      <c r="H39" s="151"/>
      <c r="J39" s="155"/>
      <c r="K39" s="155"/>
      <c r="L39" s="155"/>
      <c r="M39" s="155"/>
      <c r="N39" s="155"/>
    </row>
    <row r="40" spans="1:14" ht="26.25" hidden="1">
      <c r="A40" s="140" t="s">
        <v>205</v>
      </c>
      <c r="B40" s="141"/>
      <c r="C40" s="148"/>
      <c r="D40" s="141"/>
      <c r="E40" s="148"/>
      <c r="F40" s="141"/>
      <c r="G40" s="139"/>
      <c r="H40" s="151"/>
      <c r="J40" s="156"/>
      <c r="K40" s="156"/>
      <c r="L40" s="156"/>
      <c r="M40" s="156"/>
      <c r="N40" s="156"/>
    </row>
    <row r="41" spans="1:14" ht="26.25" hidden="1">
      <c r="A41" s="140" t="s">
        <v>206</v>
      </c>
      <c r="B41" s="141"/>
      <c r="C41" s="148"/>
      <c r="D41" s="141"/>
      <c r="E41" s="148"/>
      <c r="F41" s="141"/>
      <c r="G41" s="139"/>
      <c r="H41" s="151"/>
      <c r="J41" s="157"/>
      <c r="K41" s="157"/>
      <c r="L41" s="157"/>
      <c r="M41" s="157"/>
      <c r="N41" s="157"/>
    </row>
    <row r="42" spans="1:8" ht="26.25">
      <c r="A42" s="143" t="s">
        <v>190</v>
      </c>
      <c r="B42" s="137">
        <f>B38</f>
        <v>24</v>
      </c>
      <c r="C42" s="144">
        <f>B42*3200</f>
        <v>76800</v>
      </c>
      <c r="D42" s="137"/>
      <c r="E42" s="144"/>
      <c r="F42" s="137"/>
      <c r="G42" s="144">
        <f>C42</f>
        <v>76800</v>
      </c>
      <c r="H42" s="145">
        <f>(C42/6)*2</f>
        <v>25600</v>
      </c>
    </row>
    <row r="43" spans="1:8" ht="27" customHeight="1">
      <c r="A43" s="143" t="s">
        <v>192</v>
      </c>
      <c r="B43" s="137">
        <v>23</v>
      </c>
      <c r="C43" s="144">
        <f>B43*3200</f>
        <v>73600</v>
      </c>
      <c r="D43" s="141"/>
      <c r="E43" s="148"/>
      <c r="F43" s="141"/>
      <c r="G43" s="144">
        <f>C43</f>
        <v>73600</v>
      </c>
      <c r="H43" s="145">
        <f>C43</f>
        <v>73600</v>
      </c>
    </row>
    <row r="44" spans="1:8" ht="27" customHeight="1">
      <c r="A44" s="147" t="s">
        <v>193</v>
      </c>
      <c r="B44" s="137">
        <v>9</v>
      </c>
      <c r="C44" s="144"/>
      <c r="D44" s="141"/>
      <c r="E44" s="148"/>
      <c r="F44" s="141"/>
      <c r="G44" s="141"/>
      <c r="H44" s="145"/>
    </row>
    <row r="45" spans="1:8" ht="15.75" customHeight="1">
      <c r="A45" s="147" t="s">
        <v>194</v>
      </c>
      <c r="B45" s="141">
        <v>0</v>
      </c>
      <c r="C45" s="148"/>
      <c r="D45" s="141"/>
      <c r="E45" s="148"/>
      <c r="F45" s="141"/>
      <c r="G45" s="141"/>
      <c r="H45" s="145"/>
    </row>
    <row r="46" spans="1:8" ht="26.25">
      <c r="A46" s="143" t="s">
        <v>195</v>
      </c>
      <c r="B46" s="137">
        <f>B43-B44+B45</f>
        <v>14</v>
      </c>
      <c r="C46" s="144">
        <f>B46*3200</f>
        <v>44800</v>
      </c>
      <c r="D46" s="137"/>
      <c r="E46" s="144"/>
      <c r="F46" s="137"/>
      <c r="G46" s="144">
        <f>C46</f>
        <v>44800</v>
      </c>
      <c r="H46" s="145">
        <f>(C46/6)*4</f>
        <v>29866.666666666668</v>
      </c>
    </row>
    <row r="47" spans="1:8" ht="26.25" customHeight="1">
      <c r="A47" s="239" t="s">
        <v>196</v>
      </c>
      <c r="B47" s="240"/>
      <c r="C47" s="240"/>
      <c r="D47" s="240"/>
      <c r="E47" s="240"/>
      <c r="F47" s="240"/>
      <c r="G47" s="240"/>
      <c r="H47" s="150">
        <f>H42+H43+H46</f>
        <v>129066.66666666667</v>
      </c>
    </row>
    <row r="48" spans="1:8" ht="21" customHeight="1">
      <c r="A48" s="241" t="s">
        <v>207</v>
      </c>
      <c r="B48" s="242"/>
      <c r="C48" s="242"/>
      <c r="D48" s="242"/>
      <c r="E48" s="242"/>
      <c r="F48" s="242"/>
      <c r="G48" s="242"/>
      <c r="H48" s="242"/>
    </row>
    <row r="49" spans="1:8" ht="30.75" customHeight="1">
      <c r="A49" s="133" t="s">
        <v>178</v>
      </c>
      <c r="B49" s="152" t="s">
        <v>208</v>
      </c>
      <c r="C49" s="152" t="s">
        <v>209</v>
      </c>
      <c r="D49" s="152" t="s">
        <v>210</v>
      </c>
      <c r="E49" s="152" t="s">
        <v>320</v>
      </c>
      <c r="F49" s="152" t="s">
        <v>183</v>
      </c>
      <c r="G49" s="136" t="s">
        <v>184</v>
      </c>
      <c r="H49" s="135" t="s">
        <v>185</v>
      </c>
    </row>
    <row r="50" spans="1:8" ht="26.25">
      <c r="A50" s="136" t="s">
        <v>186</v>
      </c>
      <c r="B50" s="137">
        <v>13</v>
      </c>
      <c r="C50" s="144"/>
      <c r="D50" s="137">
        <v>15</v>
      </c>
      <c r="E50" s="144"/>
      <c r="F50" s="137">
        <f aca="true" t="shared" si="1" ref="F50:F57">B50+D50</f>
        <v>28</v>
      </c>
      <c r="G50" s="151"/>
      <c r="H50" s="151"/>
    </row>
    <row r="51" spans="1:8" ht="15" hidden="1">
      <c r="A51" s="140" t="s">
        <v>187</v>
      </c>
      <c r="B51" s="142"/>
      <c r="C51" s="151">
        <f>B51*8000</f>
        <v>0</v>
      </c>
      <c r="D51" s="142"/>
      <c r="E51" s="151">
        <f>D51*7000</f>
        <v>0</v>
      </c>
      <c r="F51" s="142">
        <f t="shared" si="1"/>
        <v>0</v>
      </c>
      <c r="G51" s="139"/>
      <c r="H51" s="151"/>
    </row>
    <row r="52" spans="1:8" ht="15" hidden="1">
      <c r="A52" s="140" t="s">
        <v>188</v>
      </c>
      <c r="B52" s="142"/>
      <c r="C52" s="151">
        <f>B52*8000</f>
        <v>0</v>
      </c>
      <c r="D52" s="142"/>
      <c r="E52" s="151">
        <f>D52*7000</f>
        <v>0</v>
      </c>
      <c r="F52" s="142">
        <f t="shared" si="1"/>
        <v>0</v>
      </c>
      <c r="G52" s="139"/>
      <c r="H52" s="151"/>
    </row>
    <row r="53" spans="1:8" ht="25.5" customHeight="1">
      <c r="A53" s="143" t="s">
        <v>190</v>
      </c>
      <c r="B53" s="141">
        <f>B50</f>
        <v>13</v>
      </c>
      <c r="C53" s="151">
        <f>B53*6000</f>
        <v>78000</v>
      </c>
      <c r="D53" s="141">
        <f>D50</f>
        <v>15</v>
      </c>
      <c r="E53" s="151">
        <f>D53*7000</f>
        <v>105000</v>
      </c>
      <c r="F53" s="141">
        <f t="shared" si="1"/>
        <v>28</v>
      </c>
      <c r="G53" s="148">
        <f>C53+E53</f>
        <v>183000</v>
      </c>
      <c r="H53" s="145">
        <f>(G53/6)*2</f>
        <v>61000</v>
      </c>
    </row>
    <row r="54" spans="1:8" ht="26.25">
      <c r="A54" s="143" t="s">
        <v>192</v>
      </c>
      <c r="B54" s="137">
        <f>B53</f>
        <v>13</v>
      </c>
      <c r="C54" s="144">
        <f>B54*6000</f>
        <v>78000</v>
      </c>
      <c r="D54" s="137">
        <v>15</v>
      </c>
      <c r="E54" s="144">
        <f>D54*7000</f>
        <v>105000</v>
      </c>
      <c r="F54" s="137">
        <f t="shared" si="1"/>
        <v>28</v>
      </c>
      <c r="G54" s="144">
        <f>C54+E54</f>
        <v>183000</v>
      </c>
      <c r="H54" s="145">
        <f>G54</f>
        <v>183000</v>
      </c>
    </row>
    <row r="55" spans="1:8" ht="26.25" hidden="1">
      <c r="A55" s="158" t="s">
        <v>211</v>
      </c>
      <c r="B55" s="141">
        <v>6</v>
      </c>
      <c r="C55" s="148"/>
      <c r="D55" s="141"/>
      <c r="E55" s="148"/>
      <c r="F55" s="141">
        <f t="shared" si="1"/>
        <v>6</v>
      </c>
      <c r="G55" s="141"/>
      <c r="H55" s="145"/>
    </row>
    <row r="56" spans="1:10" ht="26.25">
      <c r="A56" s="147" t="s">
        <v>194</v>
      </c>
      <c r="B56" s="141">
        <v>13</v>
      </c>
      <c r="C56" s="148"/>
      <c r="D56" s="141"/>
      <c r="E56" s="148"/>
      <c r="F56" s="141">
        <f t="shared" si="1"/>
        <v>13</v>
      </c>
      <c r="G56" s="141"/>
      <c r="H56" s="145"/>
      <c r="J56" s="146"/>
    </row>
    <row r="57" spans="1:8" ht="26.25">
      <c r="A57" s="143" t="s">
        <v>195</v>
      </c>
      <c r="B57" s="137">
        <v>13</v>
      </c>
      <c r="C57" s="144">
        <f>B57*6000</f>
        <v>78000</v>
      </c>
      <c r="D57" s="137">
        <v>22</v>
      </c>
      <c r="E57" s="144">
        <f>(17*7000)+(5*5000)</f>
        <v>144000</v>
      </c>
      <c r="F57" s="137">
        <f t="shared" si="1"/>
        <v>35</v>
      </c>
      <c r="G57" s="144">
        <f>C57+E57</f>
        <v>222000</v>
      </c>
      <c r="H57" s="145">
        <f>(G57/6)*4</f>
        <v>148000</v>
      </c>
    </row>
    <row r="58" spans="1:10" ht="26.25" customHeight="1">
      <c r="A58" s="239" t="s">
        <v>196</v>
      </c>
      <c r="B58" s="240"/>
      <c r="C58" s="240"/>
      <c r="D58" s="240"/>
      <c r="E58" s="240"/>
      <c r="F58" s="240"/>
      <c r="G58" s="240"/>
      <c r="H58" s="150">
        <f>H53+H54+H57</f>
        <v>392000</v>
      </c>
      <c r="J58" s="146"/>
    </row>
    <row r="59" spans="1:10" ht="30" customHeight="1">
      <c r="A59" s="247" t="s">
        <v>212</v>
      </c>
      <c r="B59" s="248"/>
      <c r="C59" s="248"/>
      <c r="D59" s="248"/>
      <c r="E59" s="248"/>
      <c r="F59" s="248"/>
      <c r="G59" s="249"/>
      <c r="H59" s="159">
        <f>H16+H28+H47+H58+H35</f>
        <v>32157159.666666668</v>
      </c>
      <c r="J59" s="146"/>
    </row>
    <row r="60" spans="1:8" ht="25.5" hidden="1">
      <c r="A60" s="160" t="s">
        <v>213</v>
      </c>
      <c r="B60" s="161"/>
      <c r="C60" s="162"/>
      <c r="D60" s="161"/>
      <c r="E60" s="163"/>
      <c r="F60" s="164">
        <f>G10+G22+C42+G53</f>
        <v>15797100</v>
      </c>
      <c r="G60" s="165"/>
      <c r="H60" s="165"/>
    </row>
    <row r="61" spans="1:8" ht="15.75" customHeight="1" hidden="1">
      <c r="A61" s="136" t="s">
        <v>214</v>
      </c>
      <c r="B61" s="166"/>
      <c r="C61" s="167"/>
      <c r="D61" s="166"/>
      <c r="E61" s="168"/>
      <c r="F61" s="169">
        <f>G12+G24+C43+G54</f>
        <v>15043300</v>
      </c>
      <c r="G61" s="165"/>
      <c r="H61" s="165"/>
    </row>
    <row r="62" spans="1:8" ht="25.5" hidden="1">
      <c r="A62" s="136" t="s">
        <v>215</v>
      </c>
      <c r="B62" s="166"/>
      <c r="C62" s="167"/>
      <c r="D62" s="166"/>
      <c r="E62" s="168"/>
      <c r="F62" s="169">
        <f>G15+G27+C46+G57</f>
        <v>14071500</v>
      </c>
      <c r="G62" s="165"/>
      <c r="H62" s="165"/>
    </row>
    <row r="63" spans="1:6" ht="15.75" hidden="1">
      <c r="A63" s="243" t="s">
        <v>216</v>
      </c>
      <c r="B63" s="244"/>
      <c r="C63" s="244"/>
      <c r="D63" s="244"/>
      <c r="E63" s="245"/>
      <c r="F63" s="170">
        <f>(F60/6)*2</f>
        <v>5265700</v>
      </c>
    </row>
    <row r="64" spans="1:8" ht="15.75" hidden="1">
      <c r="A64" s="243" t="s">
        <v>217</v>
      </c>
      <c r="B64" s="244"/>
      <c r="C64" s="244"/>
      <c r="D64" s="244"/>
      <c r="E64" s="245"/>
      <c r="F64" s="170">
        <f>F61</f>
        <v>15043300</v>
      </c>
      <c r="H64" s="131"/>
    </row>
    <row r="65" spans="1:7" ht="15.75" hidden="1">
      <c r="A65" s="243" t="s">
        <v>218</v>
      </c>
      <c r="B65" s="244"/>
      <c r="C65" s="244"/>
      <c r="D65" s="244"/>
      <c r="E65" s="245"/>
      <c r="F65" s="170">
        <f>(F62/6)*4+33</f>
        <v>9381033</v>
      </c>
      <c r="G65" s="146"/>
    </row>
    <row r="66" spans="1:6" ht="15.75" hidden="1">
      <c r="A66" s="246" t="s">
        <v>219</v>
      </c>
      <c r="B66" s="246"/>
      <c r="C66" s="246"/>
      <c r="D66" s="246"/>
      <c r="E66" s="246"/>
      <c r="F66" s="171">
        <f>F62-F65</f>
        <v>4690467</v>
      </c>
    </row>
    <row r="67" spans="1:6" ht="15.75" hidden="1">
      <c r="A67" s="243" t="s">
        <v>220</v>
      </c>
      <c r="B67" s="244"/>
      <c r="C67" s="244"/>
      <c r="D67" s="244"/>
      <c r="E67" s="245"/>
      <c r="F67" s="171">
        <f>F63+F64+F65</f>
        <v>29690033</v>
      </c>
    </row>
    <row r="68" ht="24.75" customHeight="1" hidden="1"/>
    <row r="69" spans="1:6" ht="15.75" hidden="1">
      <c r="A69" s="246" t="s">
        <v>216</v>
      </c>
      <c r="B69" s="246"/>
      <c r="C69" s="246"/>
      <c r="D69" s="246"/>
      <c r="E69" s="246"/>
      <c r="F69" s="171" t="e">
        <f>(#REF!/6)*2</f>
        <v>#REF!</v>
      </c>
    </row>
    <row r="70" spans="1:6" ht="15.75" hidden="1">
      <c r="A70" s="246" t="s">
        <v>217</v>
      </c>
      <c r="B70" s="246"/>
      <c r="C70" s="246"/>
      <c r="D70" s="246"/>
      <c r="E70" s="246"/>
      <c r="F70" s="171" t="e">
        <f>#REF!</f>
        <v>#REF!</v>
      </c>
    </row>
    <row r="71" spans="1:7" ht="15.75" hidden="1">
      <c r="A71" s="246" t="s">
        <v>218</v>
      </c>
      <c r="B71" s="246"/>
      <c r="C71" s="246"/>
      <c r="D71" s="246"/>
      <c r="E71" s="246"/>
      <c r="F71" s="171" t="e">
        <f>(#REF!/6)*4</f>
        <v>#REF!</v>
      </c>
      <c r="G71" s="131"/>
    </row>
    <row r="72" spans="1:6" ht="15.75" hidden="1">
      <c r="A72" s="246" t="s">
        <v>219</v>
      </c>
      <c r="B72" s="246"/>
      <c r="C72" s="246"/>
      <c r="D72" s="246"/>
      <c r="E72" s="246"/>
      <c r="F72" s="171" t="e">
        <f>#REF!-F71</f>
        <v>#REF!</v>
      </c>
    </row>
    <row r="73" spans="1:6" ht="18" customHeight="1" hidden="1">
      <c r="A73" s="246" t="s">
        <v>221</v>
      </c>
      <c r="B73" s="246"/>
      <c r="C73" s="246"/>
      <c r="D73" s="246"/>
      <c r="E73" s="246"/>
      <c r="F73" s="171" t="e">
        <f>F69+F70+F71</f>
        <v>#REF!</v>
      </c>
    </row>
    <row r="74" spans="1:10" ht="12.75">
      <c r="A74" s="39" t="s">
        <v>353</v>
      </c>
      <c r="J74" s="146"/>
    </row>
    <row r="75" spans="8:10" ht="12.75">
      <c r="H75" s="146"/>
      <c r="J75" s="146"/>
    </row>
    <row r="76" ht="12.75">
      <c r="H76" s="146"/>
    </row>
    <row r="77" ht="12.75">
      <c r="H77" s="146"/>
    </row>
  </sheetData>
  <sheetProtection/>
  <mergeCells count="23">
    <mergeCell ref="A69:E69"/>
    <mergeCell ref="A70:E70"/>
    <mergeCell ref="A71:E71"/>
    <mergeCell ref="A72:E72"/>
    <mergeCell ref="A73:E73"/>
    <mergeCell ref="A59:G59"/>
    <mergeCell ref="A63:E63"/>
    <mergeCell ref="A64:E64"/>
    <mergeCell ref="A65:E65"/>
    <mergeCell ref="A66:E66"/>
    <mergeCell ref="A67:E67"/>
    <mergeCell ref="A29:H29"/>
    <mergeCell ref="A35:G35"/>
    <mergeCell ref="A36:H36"/>
    <mergeCell ref="A47:G47"/>
    <mergeCell ref="A48:H48"/>
    <mergeCell ref="A58:G58"/>
    <mergeCell ref="A1:H1"/>
    <mergeCell ref="A3:H3"/>
    <mergeCell ref="A4:H4"/>
    <mergeCell ref="A16:G16"/>
    <mergeCell ref="A17:H17"/>
    <mergeCell ref="A28:G28"/>
  </mergeCells>
  <printOptions/>
  <pageMargins left="0.7874015748031497" right="0" top="0.5905511811023623" bottom="0.5905511811023623" header="0.5118110236220472" footer="0.5118110236220472"/>
  <pageSetup fitToHeight="1" fitToWidth="1" horizontalDpi="600" verticalDpi="600" orientation="portrait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37">
      <selection activeCell="L31" sqref="L31"/>
    </sheetView>
  </sheetViews>
  <sheetFormatPr defaultColWidth="9.140625" defaultRowHeight="12.75"/>
  <cols>
    <col min="1" max="1" width="4.140625" style="50" customWidth="1"/>
    <col min="2" max="2" width="47.57421875" style="50" customWidth="1"/>
    <col min="3" max="4" width="15.00390625" style="50" hidden="1" customWidth="1"/>
    <col min="5" max="6" width="15.00390625" style="50" customWidth="1"/>
    <col min="7" max="7" width="13.7109375" style="50" customWidth="1"/>
    <col min="8" max="8" width="13.421875" style="50" hidden="1" customWidth="1"/>
    <col min="9" max="9" width="11.00390625" style="50" customWidth="1"/>
    <col min="10" max="10" width="12.421875" style="50" customWidth="1"/>
    <col min="11" max="11" width="9.140625" style="50" customWidth="1"/>
    <col min="12" max="12" width="14.28125" style="50" customWidth="1"/>
    <col min="13" max="16384" width="9.140625" style="50" customWidth="1"/>
  </cols>
  <sheetData>
    <row r="1" spans="1:2" ht="15" customHeight="1">
      <c r="A1" s="172" t="s">
        <v>335</v>
      </c>
      <c r="B1" s="173"/>
    </row>
    <row r="2" spans="1:8" ht="19.5" customHeight="1">
      <c r="A2" s="213" t="s">
        <v>222</v>
      </c>
      <c r="B2" s="213"/>
      <c r="C2" s="174"/>
      <c r="D2" s="174"/>
      <c r="E2" s="174"/>
      <c r="F2" s="174"/>
      <c r="G2" s="174"/>
      <c r="H2" s="175"/>
    </row>
    <row r="3" spans="1:8" ht="28.5">
      <c r="A3" s="176" t="s">
        <v>223</v>
      </c>
      <c r="B3" s="177" t="s">
        <v>171</v>
      </c>
      <c r="C3" s="178" t="s">
        <v>224</v>
      </c>
      <c r="D3" s="178">
        <v>2013</v>
      </c>
      <c r="E3" s="178" t="s">
        <v>329</v>
      </c>
      <c r="F3" s="179" t="s">
        <v>323</v>
      </c>
      <c r="G3" s="178" t="s">
        <v>131</v>
      </c>
      <c r="H3" s="180" t="s">
        <v>132</v>
      </c>
    </row>
    <row r="4" spans="1:8" ht="12.75">
      <c r="A4" s="181" t="s">
        <v>225</v>
      </c>
      <c r="B4" s="182" t="s">
        <v>226</v>
      </c>
      <c r="C4" s="183">
        <f aca="true" t="shared" si="0" ref="C4:H4">C5+C6+C7</f>
        <v>108228.51999999999</v>
      </c>
      <c r="D4" s="183">
        <f t="shared" si="0"/>
        <v>161123.3</v>
      </c>
      <c r="E4" s="183">
        <f t="shared" si="0"/>
        <v>150000</v>
      </c>
      <c r="F4" s="183">
        <f t="shared" si="0"/>
        <v>112837.95000000001</v>
      </c>
      <c r="G4" s="183">
        <f t="shared" si="0"/>
        <v>105300</v>
      </c>
      <c r="H4" s="183">
        <f t="shared" si="0"/>
        <v>40000</v>
      </c>
    </row>
    <row r="5" spans="1:10" ht="12.75">
      <c r="A5" s="181"/>
      <c r="B5" s="184" t="s">
        <v>227</v>
      </c>
      <c r="C5" s="185">
        <v>48415.31</v>
      </c>
      <c r="D5" s="185">
        <v>90566.64</v>
      </c>
      <c r="E5" s="185">
        <v>80000</v>
      </c>
      <c r="F5" s="185">
        <v>86236.05</v>
      </c>
      <c r="G5" s="185">
        <v>85000</v>
      </c>
      <c r="H5" s="185">
        <v>0</v>
      </c>
      <c r="J5" s="131"/>
    </row>
    <row r="6" spans="1:8" ht="12.75">
      <c r="A6" s="181"/>
      <c r="B6" s="184" t="s">
        <v>228</v>
      </c>
      <c r="C6" s="185">
        <v>44813.21</v>
      </c>
      <c r="D6" s="185">
        <v>70556.66</v>
      </c>
      <c r="E6" s="185">
        <v>70000</v>
      </c>
      <c r="F6" s="185">
        <v>26601.9</v>
      </c>
      <c r="G6" s="185">
        <v>20300</v>
      </c>
      <c r="H6" s="185">
        <v>40000</v>
      </c>
    </row>
    <row r="7" spans="1:10" ht="12.75" hidden="1">
      <c r="A7" s="181"/>
      <c r="B7" s="184" t="s">
        <v>229</v>
      </c>
      <c r="C7" s="185">
        <v>15000</v>
      </c>
      <c r="D7" s="185"/>
      <c r="E7" s="203"/>
      <c r="G7" s="185"/>
      <c r="H7" s="185"/>
      <c r="J7" s="131"/>
    </row>
    <row r="8" spans="1:8" ht="25.5">
      <c r="A8" s="181" t="s">
        <v>230</v>
      </c>
      <c r="B8" s="186" t="s">
        <v>231</v>
      </c>
      <c r="C8" s="183">
        <v>19091.15</v>
      </c>
      <c r="D8" s="183">
        <v>900</v>
      </c>
      <c r="E8" s="183">
        <v>1000</v>
      </c>
      <c r="F8" s="183">
        <v>1037.09</v>
      </c>
      <c r="G8" s="183">
        <v>1000</v>
      </c>
      <c r="H8" s="183">
        <v>10000</v>
      </c>
    </row>
    <row r="9" spans="1:8" ht="12.75">
      <c r="A9" s="181" t="s">
        <v>232</v>
      </c>
      <c r="B9" s="182" t="s">
        <v>233</v>
      </c>
      <c r="C9" s="183">
        <v>528346.08</v>
      </c>
      <c r="D9" s="183">
        <v>417955.61</v>
      </c>
      <c r="E9" s="183">
        <v>400000</v>
      </c>
      <c r="F9" s="183">
        <v>183649.24</v>
      </c>
      <c r="G9" s="183">
        <v>200000</v>
      </c>
      <c r="H9" s="183">
        <v>500000</v>
      </c>
    </row>
    <row r="10" spans="1:10" ht="12.75">
      <c r="A10" s="181" t="s">
        <v>234</v>
      </c>
      <c r="B10" s="182" t="s">
        <v>235</v>
      </c>
      <c r="C10" s="183">
        <f>C11+C12+C13</f>
        <v>449150.61</v>
      </c>
      <c r="D10" s="183">
        <f>D11+D12+D13</f>
        <v>131279.9</v>
      </c>
      <c r="E10" s="183">
        <f>E11+E12+E13</f>
        <v>154000</v>
      </c>
      <c r="F10" s="183">
        <f>SUM(F11:F13)</f>
        <v>223283.53999999998</v>
      </c>
      <c r="G10" s="183">
        <f>G11+G12+G13</f>
        <v>141500</v>
      </c>
      <c r="H10" s="183">
        <f>H11+H12+H13</f>
        <v>177000</v>
      </c>
      <c r="J10" s="131"/>
    </row>
    <row r="11" spans="1:8" ht="12.75">
      <c r="A11" s="181"/>
      <c r="B11" s="184" t="s">
        <v>236</v>
      </c>
      <c r="C11" s="185">
        <v>180920.9</v>
      </c>
      <c r="D11" s="185">
        <v>126661.9</v>
      </c>
      <c r="E11" s="185">
        <v>150000</v>
      </c>
      <c r="F11" s="185">
        <v>151035.55</v>
      </c>
      <c r="G11" s="185">
        <v>140000</v>
      </c>
      <c r="H11" s="185">
        <v>170000</v>
      </c>
    </row>
    <row r="12" spans="1:8" ht="12.75">
      <c r="A12" s="181"/>
      <c r="B12" s="184" t="s">
        <v>237</v>
      </c>
      <c r="C12" s="185">
        <f>2500+4260.6+860.8</f>
        <v>7621.400000000001</v>
      </c>
      <c r="D12" s="185">
        <v>4618</v>
      </c>
      <c r="E12" s="185">
        <v>4000</v>
      </c>
      <c r="F12" s="185">
        <v>1951.6</v>
      </c>
      <c r="G12" s="185">
        <v>1500</v>
      </c>
      <c r="H12" s="185">
        <v>7000</v>
      </c>
    </row>
    <row r="13" spans="1:10" ht="12.75">
      <c r="A13" s="181"/>
      <c r="B13" s="184" t="s">
        <v>238</v>
      </c>
      <c r="C13" s="185">
        <v>260608.31</v>
      </c>
      <c r="D13" s="185"/>
      <c r="E13" s="185"/>
      <c r="F13" s="185">
        <v>70296.39</v>
      </c>
      <c r="G13" s="185"/>
      <c r="H13" s="185"/>
      <c r="J13" s="131"/>
    </row>
    <row r="14" spans="1:8" ht="12.75">
      <c r="A14" s="181" t="s">
        <v>239</v>
      </c>
      <c r="B14" s="182" t="s">
        <v>240</v>
      </c>
      <c r="C14" s="183">
        <v>678.89</v>
      </c>
      <c r="D14" s="183">
        <v>2543.5</v>
      </c>
      <c r="E14" s="183"/>
      <c r="F14" s="183">
        <v>2303.4</v>
      </c>
      <c r="G14" s="183"/>
      <c r="H14" s="183"/>
    </row>
    <row r="15" spans="1:10" ht="12.75">
      <c r="A15" s="181" t="s">
        <v>241</v>
      </c>
      <c r="B15" s="182" t="s">
        <v>242</v>
      </c>
      <c r="C15" s="183">
        <f>115500+686563.1</f>
        <v>802063.1</v>
      </c>
      <c r="D15" s="183">
        <f>441472.08+26229.79+1933.24</f>
        <v>469635.11</v>
      </c>
      <c r="E15" s="183">
        <v>389970</v>
      </c>
      <c r="F15" s="183">
        <v>469546.47</v>
      </c>
      <c r="G15" s="183">
        <f>632000-149000</f>
        <v>483000</v>
      </c>
      <c r="H15" s="183">
        <f>157600+58608+105062+197369+561-157600</f>
        <v>361600</v>
      </c>
      <c r="J15" s="131"/>
    </row>
    <row r="16" spans="1:10" ht="12.75" hidden="1">
      <c r="A16" s="181" t="s">
        <v>243</v>
      </c>
      <c r="B16" s="182" t="s">
        <v>244</v>
      </c>
      <c r="C16" s="183"/>
      <c r="D16" s="183"/>
      <c r="E16" s="183"/>
      <c r="F16" s="183"/>
      <c r="G16" s="183"/>
      <c r="H16" s="183">
        <v>79800</v>
      </c>
      <c r="J16" s="131"/>
    </row>
    <row r="17" spans="1:12" ht="12.75">
      <c r="A17" s="181" t="s">
        <v>243</v>
      </c>
      <c r="B17" s="182" t="s">
        <v>156</v>
      </c>
      <c r="C17" s="183" t="e">
        <f>C18+C19+#REF!+C20+C21+C24</f>
        <v>#REF!</v>
      </c>
      <c r="D17" s="183">
        <v>164514.57</v>
      </c>
      <c r="E17" s="183">
        <f>E18+E19+E24</f>
        <v>20500</v>
      </c>
      <c r="F17" s="183">
        <f>SUM(F18:F24)</f>
        <v>85572.33</v>
      </c>
      <c r="G17" s="183">
        <f>SUM(G18:G24)</f>
        <v>1069500</v>
      </c>
      <c r="H17" s="183" t="e">
        <f>H18+H19+#REF!+H20+H21+H24</f>
        <v>#REF!</v>
      </c>
      <c r="I17" s="50" t="s">
        <v>245</v>
      </c>
      <c r="J17" s="131"/>
      <c r="L17" s="131"/>
    </row>
    <row r="18" spans="1:10" ht="12.75">
      <c r="A18" s="187"/>
      <c r="B18" s="184" t="s">
        <v>246</v>
      </c>
      <c r="C18" s="185">
        <v>17262</v>
      </c>
      <c r="D18" s="185">
        <v>19072</v>
      </c>
      <c r="E18" s="185">
        <v>19000</v>
      </c>
      <c r="F18" s="185">
        <v>22562</v>
      </c>
      <c r="G18" s="185">
        <v>20000</v>
      </c>
      <c r="H18" s="185">
        <v>16000</v>
      </c>
      <c r="J18" s="131"/>
    </row>
    <row r="19" spans="1:10" ht="12.75">
      <c r="A19" s="187"/>
      <c r="B19" s="184" t="s">
        <v>247</v>
      </c>
      <c r="C19" s="185">
        <f>1783.7+867.12</f>
        <v>2650.82</v>
      </c>
      <c r="D19" s="185">
        <v>1500.88</v>
      </c>
      <c r="E19" s="185">
        <v>1500</v>
      </c>
      <c r="F19" s="185">
        <v>1554.72</v>
      </c>
      <c r="G19" s="185">
        <v>1500</v>
      </c>
      <c r="H19" s="185">
        <v>2000</v>
      </c>
      <c r="J19" s="202"/>
    </row>
    <row r="20" spans="1:10" ht="24" hidden="1">
      <c r="A20" s="187"/>
      <c r="B20" s="188" t="s">
        <v>248</v>
      </c>
      <c r="C20" s="185"/>
      <c r="D20" s="185"/>
      <c r="E20" s="185"/>
      <c r="F20" s="185"/>
      <c r="G20" s="185"/>
      <c r="H20" s="185"/>
      <c r="J20" s="202"/>
    </row>
    <row r="21" spans="1:10" ht="12.75" hidden="1">
      <c r="A21" s="187"/>
      <c r="B21" s="184" t="s">
        <v>249</v>
      </c>
      <c r="C21" s="185"/>
      <c r="D21" s="185"/>
      <c r="E21" s="185"/>
      <c r="F21" s="185"/>
      <c r="G21" s="185"/>
      <c r="H21" s="185"/>
      <c r="J21" s="202"/>
    </row>
    <row r="22" spans="1:10" ht="12.75">
      <c r="A22" s="187"/>
      <c r="B22" s="184" t="s">
        <v>324</v>
      </c>
      <c r="C22" s="185"/>
      <c r="D22" s="185"/>
      <c r="E22" s="185"/>
      <c r="F22" s="185">
        <v>14440.33</v>
      </c>
      <c r="G22" s="185"/>
      <c r="H22" s="185"/>
      <c r="J22" s="165"/>
    </row>
    <row r="23" spans="1:10" ht="12.75">
      <c r="A23" s="187"/>
      <c r="B23" s="184" t="s">
        <v>354</v>
      </c>
      <c r="C23" s="185"/>
      <c r="D23" s="185"/>
      <c r="E23" s="185"/>
      <c r="F23" s="185"/>
      <c r="G23" s="185">
        <v>1048000</v>
      </c>
      <c r="H23" s="185"/>
      <c r="J23" s="203"/>
    </row>
    <row r="24" spans="1:10" ht="12.75">
      <c r="A24" s="187"/>
      <c r="B24" s="184" t="s">
        <v>250</v>
      </c>
      <c r="C24" s="185">
        <f>23433.69</f>
        <v>23433.69</v>
      </c>
      <c r="D24" s="185">
        <f>D17-D18-D19</f>
        <v>143941.69</v>
      </c>
      <c r="E24" s="185"/>
      <c r="F24" s="185">
        <v>47015.28</v>
      </c>
      <c r="G24" s="185"/>
      <c r="H24" s="185"/>
      <c r="J24" s="203"/>
    </row>
    <row r="25" spans="1:12" ht="18" customHeight="1">
      <c r="A25" s="157"/>
      <c r="B25" s="189" t="s">
        <v>251</v>
      </c>
      <c r="C25" s="190" t="e">
        <f>C4+C8+C9+C10+C14+C15+C16+C17</f>
        <v>#REF!</v>
      </c>
      <c r="D25" s="190">
        <f>D4+D8+D9+D10+D14+D15+D16+D17</f>
        <v>1347951.99</v>
      </c>
      <c r="E25" s="190">
        <f>E4+E8+E9+E10+E14+E15+E16+E17</f>
        <v>1115470</v>
      </c>
      <c r="F25" s="190">
        <f>F4+F8+F9+F10+F14+F15+F16+F17</f>
        <v>1078230.02</v>
      </c>
      <c r="G25" s="190">
        <f>G4+G8+G9+G10+G14+G15+G16+G17</f>
        <v>2000300</v>
      </c>
      <c r="H25" s="190" t="e">
        <f>H4+H8+H9+H10+H14+H15+H17+H16</f>
        <v>#REF!</v>
      </c>
      <c r="I25" s="131"/>
      <c r="J25" s="155"/>
      <c r="L25" s="131"/>
    </row>
    <row r="26" spans="2:10" ht="12.75">
      <c r="B26" s="191"/>
      <c r="C26" s="84"/>
      <c r="D26" s="84"/>
      <c r="E26" s="84"/>
      <c r="F26" s="84"/>
      <c r="G26" s="84"/>
      <c r="H26" s="84"/>
      <c r="J26" s="165"/>
    </row>
    <row r="27" spans="1:10" ht="29.25">
      <c r="A27" s="176" t="s">
        <v>223</v>
      </c>
      <c r="B27" s="177" t="s">
        <v>252</v>
      </c>
      <c r="C27" s="178" t="s">
        <v>253</v>
      </c>
      <c r="D27" s="178">
        <v>2013</v>
      </c>
      <c r="E27" s="178" t="s">
        <v>329</v>
      </c>
      <c r="F27" s="179" t="s">
        <v>323</v>
      </c>
      <c r="G27" s="178" t="s">
        <v>131</v>
      </c>
      <c r="H27" s="180" t="s">
        <v>132</v>
      </c>
      <c r="J27" s="165"/>
    </row>
    <row r="28" spans="1:10" ht="12.75">
      <c r="A28" s="187" t="s">
        <v>225</v>
      </c>
      <c r="B28" s="192" t="s">
        <v>326</v>
      </c>
      <c r="C28" s="193"/>
      <c r="D28" s="185"/>
      <c r="E28" s="185"/>
      <c r="F28" s="185">
        <v>55005.66</v>
      </c>
      <c r="G28" s="185">
        <v>30000</v>
      </c>
      <c r="H28" s="193">
        <v>0</v>
      </c>
      <c r="J28" s="165"/>
    </row>
    <row r="29" spans="1:10" ht="12.75">
      <c r="A29" s="187" t="s">
        <v>230</v>
      </c>
      <c r="B29" s="192" t="s">
        <v>325</v>
      </c>
      <c r="C29" s="193">
        <v>8100.72</v>
      </c>
      <c r="D29" s="185"/>
      <c r="E29" s="185"/>
      <c r="F29" s="185">
        <v>43356.75</v>
      </c>
      <c r="G29" s="185">
        <v>40000</v>
      </c>
      <c r="H29" s="193">
        <v>0</v>
      </c>
      <c r="J29" s="203"/>
    </row>
    <row r="30" spans="1:10" ht="25.5">
      <c r="A30" s="187" t="s">
        <v>232</v>
      </c>
      <c r="B30" s="194" t="s">
        <v>327</v>
      </c>
      <c r="C30" s="193">
        <v>23516.61</v>
      </c>
      <c r="D30" s="185">
        <f>438072.66-372000</f>
        <v>66072.65999999997</v>
      </c>
      <c r="E30" s="185">
        <v>30000</v>
      </c>
      <c r="F30" s="185"/>
      <c r="G30" s="185"/>
      <c r="H30" s="193">
        <v>90000</v>
      </c>
      <c r="J30" s="203"/>
    </row>
    <row r="31" spans="1:10" ht="12.75">
      <c r="A31" s="187" t="s">
        <v>234</v>
      </c>
      <c r="B31" s="194" t="s">
        <v>254</v>
      </c>
      <c r="C31" s="193">
        <v>7242.76</v>
      </c>
      <c r="D31" s="185">
        <v>42829.2</v>
      </c>
      <c r="E31" s="185"/>
      <c r="F31" s="185">
        <v>2872</v>
      </c>
      <c r="G31" s="185"/>
      <c r="H31" s="193">
        <v>0</v>
      </c>
      <c r="J31" s="203"/>
    </row>
    <row r="32" spans="1:10" ht="25.5">
      <c r="A32" s="187" t="s">
        <v>239</v>
      </c>
      <c r="B32" s="194" t="s">
        <v>255</v>
      </c>
      <c r="C32" s="193">
        <v>389147.1</v>
      </c>
      <c r="D32" s="185">
        <v>372000</v>
      </c>
      <c r="E32" s="185">
        <v>350000</v>
      </c>
      <c r="F32" s="185">
        <v>309679.22</v>
      </c>
      <c r="G32" s="185">
        <v>300000</v>
      </c>
      <c r="H32" s="193">
        <v>350000</v>
      </c>
      <c r="J32" s="165"/>
    </row>
    <row r="33" spans="1:10" ht="12.75">
      <c r="A33" s="187" t="s">
        <v>241</v>
      </c>
      <c r="B33" s="194" t="s">
        <v>256</v>
      </c>
      <c r="C33" s="195">
        <v>19454</v>
      </c>
      <c r="D33" s="185"/>
      <c r="E33" s="185"/>
      <c r="F33" s="185">
        <f>6577.57+15750</f>
        <v>22327.57</v>
      </c>
      <c r="G33" s="185"/>
      <c r="H33" s="193">
        <v>0</v>
      </c>
      <c r="J33" s="165"/>
    </row>
    <row r="34" spans="1:10" ht="12.75">
      <c r="A34" s="187" t="s">
        <v>243</v>
      </c>
      <c r="B34" s="192" t="s">
        <v>257</v>
      </c>
      <c r="C34" s="193">
        <f>SUM(C35:C38)</f>
        <v>204007.6</v>
      </c>
      <c r="D34" s="196">
        <f>598.41+62309.38+9980</f>
        <v>72887.79000000001</v>
      </c>
      <c r="E34" s="196">
        <f>E35</f>
        <v>10000</v>
      </c>
      <c r="F34" s="196">
        <f>SUM(F35:F38)</f>
        <v>93986.04</v>
      </c>
      <c r="G34" s="196">
        <f>SUM(G35:G38)</f>
        <v>20000</v>
      </c>
      <c r="H34" s="193">
        <f>H35+H36</f>
        <v>45000</v>
      </c>
      <c r="J34" s="165"/>
    </row>
    <row r="35" spans="1:10" ht="12.75">
      <c r="A35" s="157"/>
      <c r="B35" s="184" t="s">
        <v>331</v>
      </c>
      <c r="C35" s="185">
        <f>33258.62+25046.41+19606.04</f>
        <v>77911.07</v>
      </c>
      <c r="D35" s="185">
        <v>9980</v>
      </c>
      <c r="E35" s="185">
        <v>10000</v>
      </c>
      <c r="F35" s="185">
        <v>28288.79</v>
      </c>
      <c r="G35" s="185">
        <v>20000</v>
      </c>
      <c r="H35" s="185">
        <v>45000</v>
      </c>
      <c r="I35" s="131"/>
      <c r="J35" s="165"/>
    </row>
    <row r="36" spans="1:10" ht="12.75">
      <c r="A36" s="157"/>
      <c r="B36" s="184" t="s">
        <v>258</v>
      </c>
      <c r="C36" s="185">
        <v>4515</v>
      </c>
      <c r="D36" s="185"/>
      <c r="E36" s="185"/>
      <c r="F36" s="185"/>
      <c r="G36" s="185"/>
      <c r="H36" s="185"/>
      <c r="J36" s="203"/>
    </row>
    <row r="37" spans="1:10" ht="12.75">
      <c r="A37" s="157"/>
      <c r="B37" s="184" t="s">
        <v>328</v>
      </c>
      <c r="C37" s="185">
        <v>45121.5</v>
      </c>
      <c r="D37" s="185"/>
      <c r="E37" s="185"/>
      <c r="F37" s="185">
        <v>38764.08</v>
      </c>
      <c r="G37" s="185"/>
      <c r="H37" s="185"/>
      <c r="J37" s="203"/>
    </row>
    <row r="38" spans="1:10" ht="12.75">
      <c r="A38" s="157"/>
      <c r="B38" s="184" t="s">
        <v>259</v>
      </c>
      <c r="C38" s="185">
        <f>72667.06+277+2803.66+37.66+674.65</f>
        <v>76460.03</v>
      </c>
      <c r="D38" s="185">
        <f>D34-D35</f>
        <v>62907.79000000001</v>
      </c>
      <c r="E38" s="185"/>
      <c r="F38" s="185">
        <f>5000+21933.17</f>
        <v>26933.17</v>
      </c>
      <c r="G38" s="185"/>
      <c r="H38" s="185">
        <f>H34-H35-H36</f>
        <v>0</v>
      </c>
      <c r="J38" s="203"/>
    </row>
    <row r="39" spans="1:10" ht="16.5" customHeight="1">
      <c r="A39" s="157"/>
      <c r="B39" s="189" t="s">
        <v>251</v>
      </c>
      <c r="C39" s="190">
        <f>C28+C29+C30+C31+C32+C33+C34</f>
        <v>651468.79</v>
      </c>
      <c r="D39" s="190">
        <f>D30+D31+D34+D32</f>
        <v>553789.6499999999</v>
      </c>
      <c r="E39" s="190">
        <f>E30+E31+E34+E32</f>
        <v>390000</v>
      </c>
      <c r="F39" s="190">
        <f>F28+F29+F30+F31+F33+F34+F32</f>
        <v>527227.24</v>
      </c>
      <c r="G39" s="190">
        <f>G28+G29+G30+G31+G32+G34</f>
        <v>390000</v>
      </c>
      <c r="H39" s="190">
        <f>H28+H29+H30+H31+H32+H33+H34</f>
        <v>485000</v>
      </c>
      <c r="I39" s="78"/>
      <c r="J39" s="203"/>
    </row>
    <row r="40" spans="3:10" ht="12.75">
      <c r="C40" s="131"/>
      <c r="D40" s="131"/>
      <c r="E40" s="131"/>
      <c r="F40" s="131"/>
      <c r="G40" s="131"/>
      <c r="J40" s="203"/>
    </row>
    <row r="41" spans="1:10" ht="30" customHeight="1">
      <c r="A41" s="176" t="s">
        <v>223</v>
      </c>
      <c r="B41" s="177" t="s">
        <v>118</v>
      </c>
      <c r="C41" s="178" t="s">
        <v>253</v>
      </c>
      <c r="D41" s="178">
        <v>2013</v>
      </c>
      <c r="E41" s="178" t="s">
        <v>329</v>
      </c>
      <c r="F41" s="179" t="s">
        <v>323</v>
      </c>
      <c r="G41" s="178" t="s">
        <v>131</v>
      </c>
      <c r="H41" s="180" t="s">
        <v>132</v>
      </c>
      <c r="J41" s="203"/>
    </row>
    <row r="42" spans="1:10" ht="12.75">
      <c r="A42" s="187">
        <v>1</v>
      </c>
      <c r="B42" s="192" t="s">
        <v>260</v>
      </c>
      <c r="C42" s="193">
        <f>1747744.22+160228.95</f>
        <v>1907973.17</v>
      </c>
      <c r="D42" s="185">
        <f>1059693.36-D43</f>
        <v>931328.1800000002</v>
      </c>
      <c r="E42" s="185">
        <v>850000</v>
      </c>
      <c r="F42" s="185">
        <v>841675.84</v>
      </c>
      <c r="G42" s="185">
        <v>750000</v>
      </c>
      <c r="H42" s="193">
        <v>1400000</v>
      </c>
      <c r="J42" s="203"/>
    </row>
    <row r="43" spans="1:10" ht="12.75">
      <c r="A43" s="187">
        <v>2</v>
      </c>
      <c r="B43" s="192" t="s">
        <v>261</v>
      </c>
      <c r="C43" s="193">
        <v>75936.87</v>
      </c>
      <c r="D43" s="185">
        <v>128365.18</v>
      </c>
      <c r="E43" s="185">
        <v>50000</v>
      </c>
      <c r="F43" s="185">
        <v>255912.01</v>
      </c>
      <c r="G43" s="185">
        <v>100000</v>
      </c>
      <c r="H43" s="193"/>
      <c r="J43" s="203"/>
    </row>
    <row r="44" spans="1:10" ht="18.75" customHeight="1">
      <c r="A44" s="187"/>
      <c r="B44" s="189" t="s">
        <v>251</v>
      </c>
      <c r="C44" s="190">
        <f aca="true" t="shared" si="1" ref="C44:H44">SUM(C42:C43)</f>
        <v>1983910.04</v>
      </c>
      <c r="D44" s="190">
        <f t="shared" si="1"/>
        <v>1059693.36</v>
      </c>
      <c r="E44" s="190">
        <f t="shared" si="1"/>
        <v>900000</v>
      </c>
      <c r="F44" s="190">
        <f t="shared" si="1"/>
        <v>1097587.85</v>
      </c>
      <c r="G44" s="190">
        <f t="shared" si="1"/>
        <v>850000</v>
      </c>
      <c r="H44" s="190">
        <f t="shared" si="1"/>
        <v>1400000</v>
      </c>
      <c r="I44" s="197"/>
      <c r="J44" s="155"/>
    </row>
    <row r="45" spans="1:10" ht="12.75">
      <c r="A45" s="154"/>
      <c r="B45" s="191"/>
      <c r="C45" s="197"/>
      <c r="D45" s="197"/>
      <c r="E45" s="197"/>
      <c r="F45" s="197"/>
      <c r="G45" s="197"/>
      <c r="H45" s="197"/>
      <c r="I45" s="197"/>
      <c r="J45" s="155"/>
    </row>
    <row r="46" spans="1:10" ht="29.25" customHeight="1">
      <c r="A46" s="176" t="s">
        <v>223</v>
      </c>
      <c r="B46" s="177" t="s">
        <v>120</v>
      </c>
      <c r="C46" s="178" t="s">
        <v>253</v>
      </c>
      <c r="D46" s="178">
        <v>2013</v>
      </c>
      <c r="E46" s="178" t="s">
        <v>329</v>
      </c>
      <c r="F46" s="179" t="s">
        <v>323</v>
      </c>
      <c r="G46" s="178" t="s">
        <v>131</v>
      </c>
      <c r="H46" s="180" t="s">
        <v>132</v>
      </c>
      <c r="J46" s="155"/>
    </row>
    <row r="47" spans="1:10" ht="12.75">
      <c r="A47" s="187">
        <v>1</v>
      </c>
      <c r="B47" s="192" t="s">
        <v>260</v>
      </c>
      <c r="C47" s="193">
        <f>15555.59+302+17174.15</f>
        <v>33031.740000000005</v>
      </c>
      <c r="D47" s="185">
        <f>153602.67-D48</f>
        <v>2658.779999999999</v>
      </c>
      <c r="E47" s="185"/>
      <c r="F47" s="185">
        <v>1131.41</v>
      </c>
      <c r="G47" s="185"/>
      <c r="H47" s="193">
        <v>10000</v>
      </c>
      <c r="J47" s="155"/>
    </row>
    <row r="48" spans="1:10" ht="12.75">
      <c r="A48" s="187">
        <v>2</v>
      </c>
      <c r="B48" s="192" t="s">
        <v>261</v>
      </c>
      <c r="C48" s="193">
        <v>289085.45</v>
      </c>
      <c r="D48" s="185">
        <v>150943.89</v>
      </c>
      <c r="E48" s="185">
        <v>50000</v>
      </c>
      <c r="F48" s="185">
        <v>28684.11</v>
      </c>
      <c r="G48" s="185">
        <v>10000</v>
      </c>
      <c r="H48" s="193">
        <v>90000</v>
      </c>
      <c r="J48" s="203"/>
    </row>
    <row r="49" spans="1:10" ht="15.75" customHeight="1">
      <c r="A49" s="187"/>
      <c r="B49" s="189" t="s">
        <v>251</v>
      </c>
      <c r="C49" s="190">
        <f aca="true" t="shared" si="2" ref="C49:H49">SUM(C47:C48)</f>
        <v>322117.19</v>
      </c>
      <c r="D49" s="190">
        <f t="shared" si="2"/>
        <v>153602.67</v>
      </c>
      <c r="E49" s="190">
        <f t="shared" si="2"/>
        <v>50000</v>
      </c>
      <c r="F49" s="190">
        <f t="shared" si="2"/>
        <v>29815.52</v>
      </c>
      <c r="G49" s="190">
        <f t="shared" si="2"/>
        <v>10000</v>
      </c>
      <c r="H49" s="190">
        <f t="shared" si="2"/>
        <v>100000</v>
      </c>
      <c r="J49" s="203"/>
    </row>
    <row r="50" spans="1:10" ht="12.75">
      <c r="A50" s="154"/>
      <c r="B50" s="198"/>
      <c r="J50" s="155"/>
    </row>
    <row r="51" spans="1:10" ht="30.75" customHeight="1">
      <c r="A51" s="176" t="s">
        <v>223</v>
      </c>
      <c r="B51" s="199" t="s">
        <v>262</v>
      </c>
      <c r="C51" s="178" t="s">
        <v>253</v>
      </c>
      <c r="D51" s="178">
        <v>2013</v>
      </c>
      <c r="E51" s="178" t="s">
        <v>329</v>
      </c>
      <c r="F51" s="179" t="s">
        <v>323</v>
      </c>
      <c r="G51" s="178" t="s">
        <v>131</v>
      </c>
      <c r="H51" s="180" t="s">
        <v>132</v>
      </c>
      <c r="J51" s="155"/>
    </row>
    <row r="52" spans="1:10" ht="16.5" customHeight="1">
      <c r="A52" s="187">
        <v>1</v>
      </c>
      <c r="B52" s="194" t="s">
        <v>263</v>
      </c>
      <c r="C52" s="193">
        <v>236704.63</v>
      </c>
      <c r="D52" s="185">
        <v>213705.78</v>
      </c>
      <c r="E52" s="185">
        <v>200000</v>
      </c>
      <c r="F52" s="185">
        <v>256971.13</v>
      </c>
      <c r="G52" s="185">
        <v>230000</v>
      </c>
      <c r="H52" s="193">
        <v>200000</v>
      </c>
      <c r="J52" s="200"/>
    </row>
    <row r="53" spans="1:12" ht="18.75" customHeight="1">
      <c r="A53" s="187">
        <v>2</v>
      </c>
      <c r="B53" s="194" t="s">
        <v>264</v>
      </c>
      <c r="C53" s="193">
        <v>463475.88</v>
      </c>
      <c r="D53" s="185">
        <f>603124.08-D52</f>
        <v>389418.29999999993</v>
      </c>
      <c r="E53" s="185">
        <v>350000</v>
      </c>
      <c r="F53" s="185">
        <f>529294.81-F52</f>
        <v>272323.68000000005</v>
      </c>
      <c r="G53" s="185">
        <v>300000</v>
      </c>
      <c r="H53" s="193">
        <v>260000</v>
      </c>
      <c r="J53" s="131"/>
      <c r="L53" s="131"/>
    </row>
    <row r="54" spans="1:8" ht="17.25" customHeight="1">
      <c r="A54" s="157"/>
      <c r="B54" s="201" t="s">
        <v>251</v>
      </c>
      <c r="C54" s="190">
        <f aca="true" t="shared" si="3" ref="C54:H54">SUM(C52:C53)</f>
        <v>700180.51</v>
      </c>
      <c r="D54" s="190">
        <f t="shared" si="3"/>
        <v>603124.08</v>
      </c>
      <c r="E54" s="190">
        <f t="shared" si="3"/>
        <v>550000</v>
      </c>
      <c r="F54" s="190">
        <f t="shared" si="3"/>
        <v>529294.81</v>
      </c>
      <c r="G54" s="190">
        <f t="shared" si="3"/>
        <v>530000</v>
      </c>
      <c r="H54" s="190">
        <f t="shared" si="3"/>
        <v>460000</v>
      </c>
    </row>
    <row r="55" ht="12.75">
      <c r="A55" s="39" t="s">
        <v>353</v>
      </c>
    </row>
  </sheetData>
  <sheetProtection/>
  <printOptions horizontalCentered="1"/>
  <pageMargins left="0.5905511811023623" right="0.1968503937007874" top="0.5905511811023623" bottom="0.5905511811023623" header="0.5118110236220472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Ekonomiczny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Szczepańska</dc:creator>
  <cp:keywords/>
  <dc:description/>
  <cp:lastModifiedBy>Joanna Piękoś</cp:lastModifiedBy>
  <cp:lastPrinted>2015-05-28T07:17:33Z</cp:lastPrinted>
  <dcterms:created xsi:type="dcterms:W3CDTF">2014-12-10T05:58:13Z</dcterms:created>
  <dcterms:modified xsi:type="dcterms:W3CDTF">2015-06-16T10:15:25Z</dcterms:modified>
  <cp:category/>
  <cp:version/>
  <cp:contentType/>
  <cp:contentStatus/>
</cp:coreProperties>
</file>